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Default Extension="png" ContentType="image/png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315" windowWidth="18855" windowHeight="7890"/>
  </bookViews>
  <sheets>
    <sheet name="Balancesheet" sheetId="10" r:id="rId1"/>
    <sheet name="Income Statement" sheetId="9" r:id="rId2"/>
    <sheet name="Cash Flow Statement" sheetId="17" r:id="rId3"/>
    <sheet name="Main Sheet" sheetId="1" r:id="rId4"/>
    <sheet name="Assumptions" sheetId="26" r:id="rId5"/>
    <sheet name="Services Details" sheetId="30" r:id="rId6"/>
    <sheet name="Revenue Details" sheetId="28" r:id="rId7"/>
    <sheet name="Revenue Aggregate, GrossMargin" sheetId="4" r:id="rId8"/>
    <sheet name="Fixed Assets Sch" sheetId="2" r:id="rId9"/>
    <sheet name="Working capital" sheetId="5" r:id="rId10"/>
    <sheet name="G &amp; A Expenses" sheetId="7" r:id="rId11"/>
    <sheet name="Travel &amp; Comm,Office Supplies" sheetId="24" r:id="rId12"/>
    <sheet name="Preoperative_expenses" sheetId="38" r:id="rId13"/>
    <sheet name="Cost of Sales" sheetId="12" r:id="rId14"/>
    <sheet name="Income Tax" sheetId="11" r:id="rId15"/>
    <sheet name="Loan Schedule" sheetId="8" r:id="rId16"/>
    <sheet name="Salaries" sheetId="29" r:id="rId17"/>
    <sheet name="Financial Ratio Analysis" sheetId="19" r:id="rId18"/>
    <sheet name="Operational Ratio Analysis" sheetId="39" r:id="rId19"/>
  </sheets>
  <definedNames>
    <definedName name="_Exh1">'Main Sheet'!$C$21</definedName>
    <definedName name="_Exh10">'Main Sheet'!$C$30</definedName>
    <definedName name="_Exh11">'Main Sheet'!$C$31</definedName>
    <definedName name="_Exh12">'Main Sheet'!$C$32</definedName>
    <definedName name="_exh13">'Main Sheet'!$C$33</definedName>
    <definedName name="_exh14">'Main Sheet'!$C$34</definedName>
    <definedName name="_exh15">'Main Sheet'!$C$35</definedName>
    <definedName name="_exh16">'Main Sheet'!$C$36</definedName>
    <definedName name="_exh17">'Main Sheet'!$C$37</definedName>
    <definedName name="_Exh2">'Main Sheet'!$C$22</definedName>
    <definedName name="_Exh3">'Main Sheet'!$C$23</definedName>
    <definedName name="_Exh4">'Main Sheet'!$C$24</definedName>
    <definedName name="_Exh5">'Main Sheet'!$C$25</definedName>
    <definedName name="_Exh6">'Main Sheet'!$C$26</definedName>
    <definedName name="_Exh7">'Main Sheet'!$C$27</definedName>
    <definedName name="_Exh8">'Main Sheet'!$C$28</definedName>
    <definedName name="_Exh9">'Main Sheet'!$C$29</definedName>
    <definedName name="co_name">'Main Sheet'!$C$6</definedName>
    <definedName name="copyright">'Main Sheet'!$C$13</definedName>
    <definedName name="curr">'Main Sheet'!$C$8</definedName>
    <definedName name="date_toggle">'Main Sheet'!$B$14</definedName>
    <definedName name="first_year">'Main Sheet'!$C$19</definedName>
    <definedName name="first_year_local">'Main Sheet'!$C$19</definedName>
    <definedName name="footnote_1">'Main Sheet'!$C$9</definedName>
    <definedName name="footnote_2">'Main Sheet'!$C$10</definedName>
    <definedName name="footnote_3">'Main Sheet'!$C$11</definedName>
    <definedName name="footnote_4">'Main Sheet'!$C$12</definedName>
    <definedName name="_xlnm.Print_Area" localSheetId="0">Balancesheet!$B$1:$I$51</definedName>
    <definedName name="_xlnm.Print_Area" localSheetId="2">'Cash Flow Statement'!$B$1:$H$46</definedName>
    <definedName name="_xlnm.Print_Area" localSheetId="8">'Fixed Assets Sch'!$B$1:$J$70</definedName>
    <definedName name="_xlnm.Print_Area" localSheetId="15">'Loan Schedule'!$B$1:$I$34</definedName>
    <definedName name="_xlnm.Print_Area" localSheetId="7">'Revenue Aggregate, GrossMargin'!$B$1:$G$56</definedName>
    <definedName name="proj_name">'Main Sheet'!$C$7</definedName>
    <definedName name="run_date">'Main Sheet'!$C$14</definedName>
    <definedName name="run_time">'Main Sheet'!$C$15</definedName>
    <definedName name="time_toggle">'Main Sheet'!$B$15</definedName>
    <definedName name="toggle_1">'Main Sheet'!$B$9</definedName>
    <definedName name="toggle_2">'Main Sheet'!$B$10</definedName>
    <definedName name="toggle_3">'Main Sheet'!$B$11</definedName>
    <definedName name="toggle_4">'Main Sheet'!$B$12</definedName>
    <definedName name="toggle_5">'Main Sheet'!$B$13</definedName>
    <definedName name="USDSR">Assumptions!$D$106</definedName>
  </definedNames>
  <calcPr calcId="125725"/>
</workbook>
</file>

<file path=xl/calcChain.xml><?xml version="1.0" encoding="utf-8"?>
<calcChain xmlns="http://schemas.openxmlformats.org/spreadsheetml/2006/main">
  <c r="D8" i="8"/>
  <c r="G7" i="39"/>
  <c r="H7"/>
  <c r="I7"/>
  <c r="F7"/>
  <c r="G7" i="19"/>
  <c r="H7"/>
  <c r="I7"/>
  <c r="F7"/>
  <c r="H109" i="29"/>
  <c r="G109"/>
  <c r="F109"/>
  <c r="E109"/>
  <c r="D109"/>
  <c r="E36" i="10"/>
  <c r="P143" i="29"/>
  <c r="N143"/>
  <c r="M143"/>
  <c r="L143"/>
  <c r="K143"/>
  <c r="J143"/>
  <c r="I143"/>
  <c r="H143"/>
  <c r="O143"/>
  <c r="C143"/>
  <c r="P142"/>
  <c r="N142"/>
  <c r="M142"/>
  <c r="L142"/>
  <c r="K142"/>
  <c r="J142"/>
  <c r="I142"/>
  <c r="H142"/>
  <c r="O142"/>
  <c r="C142"/>
  <c r="A150" i="17"/>
  <c r="A146"/>
  <c r="A145"/>
  <c r="A144"/>
  <c r="A143"/>
  <c r="A141"/>
  <c r="A137"/>
  <c r="A136"/>
  <c r="A134"/>
  <c r="A133"/>
  <c r="A128"/>
  <c r="A126"/>
  <c r="I1" i="39"/>
  <c r="I15"/>
  <c r="B15"/>
  <c r="B14"/>
  <c r="B13"/>
  <c r="B4"/>
  <c r="I1" i="19"/>
  <c r="H1" i="29"/>
  <c r="I1" i="8"/>
  <c r="I1" i="11"/>
  <c r="I1" i="12"/>
  <c r="G1" i="38"/>
  <c r="I1" i="24"/>
  <c r="H1" i="7"/>
  <c r="J1" i="5"/>
  <c r="J1" i="2"/>
  <c r="G1" i="4"/>
  <c r="H1" i="28"/>
  <c r="H1" i="9"/>
  <c r="D34" i="17"/>
  <c r="H110" i="29"/>
  <c r="G110"/>
  <c r="F110"/>
  <c r="E110"/>
  <c r="D110"/>
  <c r="D6" i="38"/>
  <c r="G24"/>
  <c r="B24"/>
  <c r="B23"/>
  <c r="B4"/>
  <c r="B2"/>
  <c r="B1"/>
  <c r="I1" i="30"/>
  <c r="E24" i="2"/>
  <c r="P141" i="29"/>
  <c r="P140"/>
  <c r="P139"/>
  <c r="P138"/>
  <c r="P137"/>
  <c r="P136"/>
  <c r="P135"/>
  <c r="P134"/>
  <c r="P133"/>
  <c r="P132"/>
  <c r="E23" i="2"/>
  <c r="S123" i="29"/>
  <c r="N123"/>
  <c r="M123"/>
  <c r="L123"/>
  <c r="K123"/>
  <c r="J123"/>
  <c r="I123"/>
  <c r="H123"/>
  <c r="P123"/>
  <c r="H20" i="24"/>
  <c r="G20"/>
  <c r="F20"/>
  <c r="E20"/>
  <c r="E34" i="12"/>
  <c r="D20" i="24"/>
  <c r="H23" i="29"/>
  <c r="G23"/>
  <c r="F23"/>
  <c r="E23"/>
  <c r="D23"/>
  <c r="H22"/>
  <c r="G22"/>
  <c r="F22"/>
  <c r="E22"/>
  <c r="D22"/>
  <c r="E36" i="28"/>
  <c r="E11" i="7"/>
  <c r="F11"/>
  <c r="G11"/>
  <c r="H11"/>
  <c r="D17"/>
  <c r="E17"/>
  <c r="F17" s="1"/>
  <c r="G17" s="1"/>
  <c r="H17" s="1"/>
  <c r="E16"/>
  <c r="F16"/>
  <c r="G16"/>
  <c r="H16"/>
  <c r="A151" i="30"/>
  <c r="A147"/>
  <c r="A146"/>
  <c r="A145"/>
  <c r="A144"/>
  <c r="A142"/>
  <c r="A138"/>
  <c r="A137"/>
  <c r="A135"/>
  <c r="A134"/>
  <c r="A129"/>
  <c r="A127"/>
  <c r="H30" i="17"/>
  <c r="F30"/>
  <c r="E30"/>
  <c r="H29"/>
  <c r="F29"/>
  <c r="E29"/>
  <c r="H28"/>
  <c r="H32" s="1"/>
  <c r="F28"/>
  <c r="F32"/>
  <c r="E28"/>
  <c r="H21"/>
  <c r="G21"/>
  <c r="F21"/>
  <c r="E21"/>
  <c r="D30"/>
  <c r="D29"/>
  <c r="D28"/>
  <c r="E32"/>
  <c r="O123" i="29"/>
  <c r="C123"/>
  <c r="D27" i="24"/>
  <c r="E27"/>
  <c r="F27" s="1"/>
  <c r="G27" s="1"/>
  <c r="H27" s="1"/>
  <c r="G29" i="28"/>
  <c r="G12" i="4" s="1"/>
  <c r="F29" i="28"/>
  <c r="F12" i="4" s="1"/>
  <c r="E29" i="28"/>
  <c r="E12" i="4" s="1"/>
  <c r="D29" i="28"/>
  <c r="D12" i="4" s="1"/>
  <c r="C29" i="28"/>
  <c r="C12" i="4" s="1"/>
  <c r="R106" i="30"/>
  <c r="Q106"/>
  <c r="P106"/>
  <c r="O106"/>
  <c r="N106"/>
  <c r="R96"/>
  <c r="Q96"/>
  <c r="P96"/>
  <c r="O96"/>
  <c r="N96"/>
  <c r="R86"/>
  <c r="Q86"/>
  <c r="P86"/>
  <c r="O86"/>
  <c r="N86"/>
  <c r="E27" i="26"/>
  <c r="E122" i="30"/>
  <c r="D27" i="26"/>
  <c r="D122" i="30"/>
  <c r="R153"/>
  <c r="Q153"/>
  <c r="P153"/>
  <c r="O153"/>
  <c r="N153"/>
  <c r="R143"/>
  <c r="Q143"/>
  <c r="P143"/>
  <c r="O143"/>
  <c r="N143"/>
  <c r="N125"/>
  <c r="O125"/>
  <c r="P125" s="1"/>
  <c r="Q125" s="1"/>
  <c r="R125" s="1"/>
  <c r="I125"/>
  <c r="J125" s="1"/>
  <c r="K125" s="1"/>
  <c r="L125" s="1"/>
  <c r="M125" s="1"/>
  <c r="D125"/>
  <c r="E125" s="1"/>
  <c r="F125" s="1"/>
  <c r="G125" s="1"/>
  <c r="H125" s="1"/>
  <c r="H27" i="26"/>
  <c r="H122" i="30"/>
  <c r="G27" i="26"/>
  <c r="G122" i="30"/>
  <c r="F27" i="26"/>
  <c r="F122" i="30"/>
  <c r="E8" i="8"/>
  <c r="C10" i="26"/>
  <c r="C7"/>
  <c r="M7" i="1"/>
  <c r="G8" i="28"/>
  <c r="G10" i="4" s="1"/>
  <c r="I9" i="39" s="1"/>
  <c r="F8" i="28"/>
  <c r="E8"/>
  <c r="D8"/>
  <c r="S132" i="29"/>
  <c r="N133"/>
  <c r="M133"/>
  <c r="L133"/>
  <c r="K133"/>
  <c r="J133"/>
  <c r="I132"/>
  <c r="H132"/>
  <c r="R50" i="30"/>
  <c r="Q50"/>
  <c r="P50"/>
  <c r="O50"/>
  <c r="N50"/>
  <c r="R40"/>
  <c r="Q40"/>
  <c r="P40"/>
  <c r="O40"/>
  <c r="N40"/>
  <c r="R30"/>
  <c r="Q30"/>
  <c r="P30"/>
  <c r="O30"/>
  <c r="N30"/>
  <c r="N12"/>
  <c r="O12" s="1"/>
  <c r="P12" s="1"/>
  <c r="Q12" s="1"/>
  <c r="R12" s="1"/>
  <c r="I12"/>
  <c r="J12"/>
  <c r="K12" s="1"/>
  <c r="L12" s="1"/>
  <c r="M12" s="1"/>
  <c r="D12"/>
  <c r="E12" s="1"/>
  <c r="F12" s="1"/>
  <c r="G12" s="1"/>
  <c r="H12" s="1"/>
  <c r="C158" i="26"/>
  <c r="B1" i="29"/>
  <c r="B1" i="19"/>
  <c r="B4" i="8"/>
  <c r="B4" i="11"/>
  <c r="B4" i="2"/>
  <c r="B4" i="9"/>
  <c r="B4" i="5"/>
  <c r="B4" i="7"/>
  <c r="B4" i="12"/>
  <c r="B4" i="24"/>
  <c r="B4" i="4"/>
  <c r="B4" i="28"/>
  <c r="B4" i="30"/>
  <c r="B1" i="28"/>
  <c r="C9" i="26"/>
  <c r="C11" i="4"/>
  <c r="D26" i="26"/>
  <c r="C8" i="28"/>
  <c r="G108" i="29"/>
  <c r="E108"/>
  <c r="H108"/>
  <c r="F108"/>
  <c r="D108"/>
  <c r="D111"/>
  <c r="F127" i="30"/>
  <c r="H129"/>
  <c r="F131"/>
  <c r="K131"/>
  <c r="P131" s="1"/>
  <c r="H133"/>
  <c r="F135"/>
  <c r="H137"/>
  <c r="M137" s="1"/>
  <c r="R137" s="1"/>
  <c r="F139"/>
  <c r="H141"/>
  <c r="F144"/>
  <c r="K144" s="1"/>
  <c r="P144" s="1"/>
  <c r="H146"/>
  <c r="M146" s="1"/>
  <c r="R146" s="1"/>
  <c r="F148"/>
  <c r="K148"/>
  <c r="P148" s="1"/>
  <c r="H150"/>
  <c r="M150" s="1"/>
  <c r="R150" s="1"/>
  <c r="F152"/>
  <c r="K152" s="1"/>
  <c r="P152" s="1"/>
  <c r="H127"/>
  <c r="F129"/>
  <c r="K129"/>
  <c r="H131"/>
  <c r="M131"/>
  <c r="F133"/>
  <c r="K133"/>
  <c r="P133" s="1"/>
  <c r="H135"/>
  <c r="M135" s="1"/>
  <c r="R135" s="1"/>
  <c r="F137"/>
  <c r="K137" s="1"/>
  <c r="P137" s="1"/>
  <c r="H139"/>
  <c r="M139" s="1"/>
  <c r="R139" s="1"/>
  <c r="F141"/>
  <c r="K141"/>
  <c r="P141" s="1"/>
  <c r="H144"/>
  <c r="M144" s="1"/>
  <c r="R144" s="1"/>
  <c r="F146"/>
  <c r="K146" s="1"/>
  <c r="P146" s="1"/>
  <c r="H148"/>
  <c r="M148"/>
  <c r="R148" s="1"/>
  <c r="F150"/>
  <c r="K150" s="1"/>
  <c r="P150" s="1"/>
  <c r="H152"/>
  <c r="M152" s="1"/>
  <c r="R152" s="1"/>
  <c r="G128"/>
  <c r="L128" s="1"/>
  <c r="Q128" s="1"/>
  <c r="G130"/>
  <c r="G132"/>
  <c r="L132" s="1"/>
  <c r="Q132" s="1"/>
  <c r="G134"/>
  <c r="G136"/>
  <c r="G138"/>
  <c r="L138" s="1"/>
  <c r="Q138" s="1"/>
  <c r="G140"/>
  <c r="G142"/>
  <c r="L142" s="1"/>
  <c r="Q142" s="1"/>
  <c r="G145"/>
  <c r="G147"/>
  <c r="L147" s="1"/>
  <c r="Q147" s="1"/>
  <c r="G149"/>
  <c r="L149" s="1"/>
  <c r="Q149" s="1"/>
  <c r="G151"/>
  <c r="L151"/>
  <c r="Q151" s="1"/>
  <c r="G127"/>
  <c r="F128"/>
  <c r="K128" s="1"/>
  <c r="P128" s="1"/>
  <c r="H128"/>
  <c r="G129"/>
  <c r="L129" s="1"/>
  <c r="F130"/>
  <c r="H130"/>
  <c r="G131"/>
  <c r="L131" s="1"/>
  <c r="Q131" s="1"/>
  <c r="F132"/>
  <c r="H132"/>
  <c r="M132" s="1"/>
  <c r="R132" s="1"/>
  <c r="G133"/>
  <c r="L133" s="1"/>
  <c r="Q133" s="1"/>
  <c r="F134"/>
  <c r="H134"/>
  <c r="M134"/>
  <c r="R134" s="1"/>
  <c r="G135"/>
  <c r="F136"/>
  <c r="H136"/>
  <c r="M136" s="1"/>
  <c r="R136" s="1"/>
  <c r="G137"/>
  <c r="F138"/>
  <c r="K138" s="1"/>
  <c r="H138"/>
  <c r="G139"/>
  <c r="F140"/>
  <c r="K140" s="1"/>
  <c r="P140" s="1"/>
  <c r="H140"/>
  <c r="M140" s="1"/>
  <c r="G141"/>
  <c r="F142"/>
  <c r="H142"/>
  <c r="M142" s="1"/>
  <c r="R142" s="1"/>
  <c r="G144"/>
  <c r="F145"/>
  <c r="H145"/>
  <c r="M145" s="1"/>
  <c r="R145" s="1"/>
  <c r="G146"/>
  <c r="L146" s="1"/>
  <c r="Q146" s="1"/>
  <c r="F147"/>
  <c r="H147"/>
  <c r="G148"/>
  <c r="F149"/>
  <c r="K149" s="1"/>
  <c r="P149" s="1"/>
  <c r="H149"/>
  <c r="M149" s="1"/>
  <c r="R149" s="1"/>
  <c r="G150"/>
  <c r="L150"/>
  <c r="Q150" s="1"/>
  <c r="F151"/>
  <c r="K151" s="1"/>
  <c r="P151" s="1"/>
  <c r="H151"/>
  <c r="M151" s="1"/>
  <c r="R151" s="1"/>
  <c r="G152"/>
  <c r="L152" s="1"/>
  <c r="Q152" s="1"/>
  <c r="P129"/>
  <c r="C119"/>
  <c r="C118"/>
  <c r="C117"/>
  <c r="C116"/>
  <c r="C115"/>
  <c r="C114"/>
  <c r="C113"/>
  <c r="C112"/>
  <c r="C111"/>
  <c r="C110"/>
  <c r="C109"/>
  <c r="C108"/>
  <c r="C107"/>
  <c r="C105"/>
  <c r="C104"/>
  <c r="C103"/>
  <c r="C102"/>
  <c r="C101"/>
  <c r="C100"/>
  <c r="C99"/>
  <c r="C98"/>
  <c r="C97"/>
  <c r="C95"/>
  <c r="C94"/>
  <c r="C93"/>
  <c r="C92"/>
  <c r="C91"/>
  <c r="C90"/>
  <c r="C89"/>
  <c r="C88"/>
  <c r="C87"/>
  <c r="C85"/>
  <c r="C84"/>
  <c r="C83"/>
  <c r="C82"/>
  <c r="C81"/>
  <c r="C80"/>
  <c r="C79"/>
  <c r="C78"/>
  <c r="C77"/>
  <c r="C76"/>
  <c r="C75"/>
  <c r="C74"/>
  <c r="C73"/>
  <c r="C72"/>
  <c r="C71"/>
  <c r="C70"/>
  <c r="R131"/>
  <c r="M127"/>
  <c r="R127" s="1"/>
  <c r="L127"/>
  <c r="Q127" s="1"/>
  <c r="K127"/>
  <c r="P127" s="1"/>
  <c r="D6"/>
  <c r="E6" s="1"/>
  <c r="F6" s="1"/>
  <c r="G6" s="1"/>
  <c r="H6" s="1"/>
  <c r="B2"/>
  <c r="B1"/>
  <c r="H36" i="29"/>
  <c r="H38" s="1"/>
  <c r="G36"/>
  <c r="F36"/>
  <c r="F38" s="1"/>
  <c r="E36"/>
  <c r="G11" i="4"/>
  <c r="F11"/>
  <c r="E11"/>
  <c r="D11"/>
  <c r="S131" i="29"/>
  <c r="N132"/>
  <c r="O132"/>
  <c r="M132"/>
  <c r="L132"/>
  <c r="K132"/>
  <c r="J132"/>
  <c r="I133"/>
  <c r="H133"/>
  <c r="O133"/>
  <c r="H54"/>
  <c r="H55" s="1"/>
  <c r="H56" s="1"/>
  <c r="G54"/>
  <c r="F54"/>
  <c r="F55" s="1"/>
  <c r="F56" s="1"/>
  <c r="E54"/>
  <c r="D54"/>
  <c r="D55" s="1"/>
  <c r="D56" s="1"/>
  <c r="I38" i="24"/>
  <c r="B38"/>
  <c r="B37"/>
  <c r="B2"/>
  <c r="B1"/>
  <c r="H24" i="2"/>
  <c r="G30" i="17"/>
  <c r="H22" i="2"/>
  <c r="G28" i="17"/>
  <c r="C8" i="29"/>
  <c r="C7"/>
  <c r="C6"/>
  <c r="C6" i="28"/>
  <c r="D6"/>
  <c r="E6" s="1"/>
  <c r="F6" s="1"/>
  <c r="G6" s="1"/>
  <c r="B2"/>
  <c r="B2" i="4"/>
  <c r="B2" i="29"/>
  <c r="B2" i="19" s="1"/>
  <c r="H49" i="29"/>
  <c r="H12" i="24"/>
  <c r="G49" i="29"/>
  <c r="G12" i="24"/>
  <c r="F49" i="29"/>
  <c r="F12" i="24"/>
  <c r="E49" i="29"/>
  <c r="E12" i="24"/>
  <c r="D49" i="29"/>
  <c r="D12" i="24"/>
  <c r="B2" i="39"/>
  <c r="D24" i="24"/>
  <c r="D22"/>
  <c r="F24"/>
  <c r="F22"/>
  <c r="H24"/>
  <c r="H22"/>
  <c r="E24"/>
  <c r="E22"/>
  <c r="G24"/>
  <c r="G22"/>
  <c r="E55" i="29"/>
  <c r="E56"/>
  <c r="G55"/>
  <c r="G56"/>
  <c r="C132"/>
  <c r="D105"/>
  <c r="E105"/>
  <c r="F105"/>
  <c r="G105"/>
  <c r="H105"/>
  <c r="H23" i="2"/>
  <c r="G29" i="17"/>
  <c r="G32" s="1"/>
  <c r="G38" i="29"/>
  <c r="G11" i="24"/>
  <c r="E38" i="29"/>
  <c r="E11" i="24"/>
  <c r="D38" i="29"/>
  <c r="D11" i="24"/>
  <c r="S140" i="29"/>
  <c r="N141"/>
  <c r="M141"/>
  <c r="L141"/>
  <c r="K141"/>
  <c r="J141"/>
  <c r="I141"/>
  <c r="H141"/>
  <c r="O141"/>
  <c r="S139"/>
  <c r="N140"/>
  <c r="M140"/>
  <c r="L140"/>
  <c r="K140"/>
  <c r="J140"/>
  <c r="I140"/>
  <c r="H140"/>
  <c r="O140"/>
  <c r="S138"/>
  <c r="N139"/>
  <c r="M139"/>
  <c r="L139"/>
  <c r="K139"/>
  <c r="J139"/>
  <c r="I139"/>
  <c r="H139"/>
  <c r="O139"/>
  <c r="S137"/>
  <c r="N138"/>
  <c r="M138"/>
  <c r="L138"/>
  <c r="K138"/>
  <c r="J138"/>
  <c r="I138"/>
  <c r="H138"/>
  <c r="O138"/>
  <c r="S136"/>
  <c r="N137"/>
  <c r="M137"/>
  <c r="L137"/>
  <c r="K137"/>
  <c r="J137"/>
  <c r="I137"/>
  <c r="H137"/>
  <c r="O137"/>
  <c r="S135"/>
  <c r="N136"/>
  <c r="M136"/>
  <c r="L136"/>
  <c r="K136"/>
  <c r="J136"/>
  <c r="I136"/>
  <c r="H136"/>
  <c r="O136"/>
  <c r="S134"/>
  <c r="N135"/>
  <c r="M135"/>
  <c r="L135"/>
  <c r="K135"/>
  <c r="J135"/>
  <c r="I135"/>
  <c r="H135"/>
  <c r="O135"/>
  <c r="S133"/>
  <c r="N134"/>
  <c r="M134"/>
  <c r="L134"/>
  <c r="K134"/>
  <c r="J134"/>
  <c r="I134"/>
  <c r="H134"/>
  <c r="O134"/>
  <c r="S130"/>
  <c r="P131"/>
  <c r="N131"/>
  <c r="M131"/>
  <c r="L131"/>
  <c r="K131"/>
  <c r="J131"/>
  <c r="I131"/>
  <c r="H131"/>
  <c r="S129"/>
  <c r="P130"/>
  <c r="N130"/>
  <c r="M130"/>
  <c r="L130"/>
  <c r="K130"/>
  <c r="J130"/>
  <c r="I130"/>
  <c r="H130"/>
  <c r="S128"/>
  <c r="P129"/>
  <c r="N129"/>
  <c r="M129"/>
  <c r="L129"/>
  <c r="K129"/>
  <c r="J129"/>
  <c r="I129"/>
  <c r="H129"/>
  <c r="S127"/>
  <c r="P128"/>
  <c r="N128"/>
  <c r="M128"/>
  <c r="L128"/>
  <c r="K128"/>
  <c r="J128"/>
  <c r="I128"/>
  <c r="H128"/>
  <c r="S126"/>
  <c r="P127"/>
  <c r="N127"/>
  <c r="M127"/>
  <c r="L127"/>
  <c r="K127"/>
  <c r="J127"/>
  <c r="I127"/>
  <c r="H127"/>
  <c r="S125"/>
  <c r="P126"/>
  <c r="N126"/>
  <c r="M126"/>
  <c r="L126"/>
  <c r="K126"/>
  <c r="J126"/>
  <c r="I126"/>
  <c r="H126"/>
  <c r="S124"/>
  <c r="P125"/>
  <c r="N125"/>
  <c r="M125"/>
  <c r="L125"/>
  <c r="K125"/>
  <c r="J125"/>
  <c r="I125"/>
  <c r="H125"/>
  <c r="G56" i="4"/>
  <c r="D23" i="24"/>
  <c r="E23"/>
  <c r="O126" i="29"/>
  <c r="C126"/>
  <c r="D87"/>
  <c r="E87"/>
  <c r="O128"/>
  <c r="C128"/>
  <c r="D89"/>
  <c r="E89"/>
  <c r="F89"/>
  <c r="G89"/>
  <c r="H89"/>
  <c r="O130"/>
  <c r="C130"/>
  <c r="D103"/>
  <c r="E103"/>
  <c r="F103"/>
  <c r="G103"/>
  <c r="H103"/>
  <c r="C134"/>
  <c r="D93"/>
  <c r="E93"/>
  <c r="C133"/>
  <c r="C136"/>
  <c r="D95"/>
  <c r="E95"/>
  <c r="F95"/>
  <c r="G95"/>
  <c r="H95"/>
  <c r="C138"/>
  <c r="D97"/>
  <c r="E97"/>
  <c r="F97"/>
  <c r="G97"/>
  <c r="H97"/>
  <c r="C140"/>
  <c r="D99"/>
  <c r="E99"/>
  <c r="F99"/>
  <c r="G99"/>
  <c r="H99"/>
  <c r="O125"/>
  <c r="C125"/>
  <c r="D86"/>
  <c r="O127"/>
  <c r="C127"/>
  <c r="O129"/>
  <c r="C129"/>
  <c r="D102"/>
  <c r="E102"/>
  <c r="F102"/>
  <c r="G102"/>
  <c r="H102"/>
  <c r="O131"/>
  <c r="C131"/>
  <c r="D104"/>
  <c r="E104"/>
  <c r="F104"/>
  <c r="G104"/>
  <c r="H104"/>
  <c r="C135"/>
  <c r="D94"/>
  <c r="E94"/>
  <c r="F94"/>
  <c r="G94"/>
  <c r="H94"/>
  <c r="C137"/>
  <c r="D96"/>
  <c r="E96"/>
  <c r="F96"/>
  <c r="G96"/>
  <c r="H96"/>
  <c r="C139"/>
  <c r="D98"/>
  <c r="E98"/>
  <c r="F98"/>
  <c r="G98"/>
  <c r="H98"/>
  <c r="C141"/>
  <c r="D100"/>
  <c r="E100"/>
  <c r="F100"/>
  <c r="G100"/>
  <c r="H100"/>
  <c r="D61"/>
  <c r="E61" s="1"/>
  <c r="F61" s="1"/>
  <c r="G61" s="1"/>
  <c r="H61" s="1"/>
  <c r="D11" i="26"/>
  <c r="E11"/>
  <c r="F11" s="1"/>
  <c r="G11" s="1"/>
  <c r="H11" s="1"/>
  <c r="S122" i="29"/>
  <c r="P124"/>
  <c r="N124"/>
  <c r="M124"/>
  <c r="L124"/>
  <c r="K124"/>
  <c r="J124"/>
  <c r="I124"/>
  <c r="H124"/>
  <c r="S121"/>
  <c r="P122"/>
  <c r="N122"/>
  <c r="M122"/>
  <c r="L122"/>
  <c r="K122"/>
  <c r="J122"/>
  <c r="I122"/>
  <c r="H122"/>
  <c r="S120"/>
  <c r="P121"/>
  <c r="N121"/>
  <c r="M121"/>
  <c r="L121"/>
  <c r="K121"/>
  <c r="J121"/>
  <c r="I121"/>
  <c r="H121"/>
  <c r="S119"/>
  <c r="P120"/>
  <c r="N120"/>
  <c r="M120"/>
  <c r="L120"/>
  <c r="K120"/>
  <c r="J120"/>
  <c r="I120"/>
  <c r="H120"/>
  <c r="S118"/>
  <c r="P119"/>
  <c r="N119"/>
  <c r="M119"/>
  <c r="L119"/>
  <c r="K119"/>
  <c r="J119"/>
  <c r="I119"/>
  <c r="H119"/>
  <c r="S117"/>
  <c r="P118"/>
  <c r="N118"/>
  <c r="M118"/>
  <c r="L118"/>
  <c r="K118"/>
  <c r="J118"/>
  <c r="I118"/>
  <c r="H118"/>
  <c r="S116"/>
  <c r="P117"/>
  <c r="N117"/>
  <c r="M117"/>
  <c r="L117"/>
  <c r="K117"/>
  <c r="J117"/>
  <c r="I117"/>
  <c r="H117"/>
  <c r="D16"/>
  <c r="E16"/>
  <c r="F16" s="1"/>
  <c r="G16" s="1"/>
  <c r="H16" s="1"/>
  <c r="D90" i="26"/>
  <c r="E86" i="29"/>
  <c r="F86"/>
  <c r="G86"/>
  <c r="H86"/>
  <c r="D106"/>
  <c r="D88"/>
  <c r="D90"/>
  <c r="D17" i="9"/>
  <c r="O120" i="29"/>
  <c r="C120"/>
  <c r="O118"/>
  <c r="C118"/>
  <c r="O122"/>
  <c r="C122"/>
  <c r="O117"/>
  <c r="C117"/>
  <c r="O119"/>
  <c r="C119"/>
  <c r="O121"/>
  <c r="C121"/>
  <c r="O124"/>
  <c r="C124"/>
  <c r="H26" i="26"/>
  <c r="G26"/>
  <c r="F26"/>
  <c r="E26"/>
  <c r="H14"/>
  <c r="G14"/>
  <c r="F14"/>
  <c r="E14"/>
  <c r="D14"/>
  <c r="B4"/>
  <c r="B2"/>
  <c r="B1"/>
  <c r="H18" i="7"/>
  <c r="G18"/>
  <c r="F18"/>
  <c r="E18"/>
  <c r="D18"/>
  <c r="E10"/>
  <c r="F10"/>
  <c r="G10"/>
  <c r="H10"/>
  <c r="G111" i="29"/>
  <c r="E111"/>
  <c r="F111"/>
  <c r="D10" i="38"/>
  <c r="H111" i="29"/>
  <c r="D79"/>
  <c r="D80"/>
  <c r="D33" i="12" s="1"/>
  <c r="D35" s="1"/>
  <c r="C33" i="4" s="1"/>
  <c r="F79" i="29"/>
  <c r="H79"/>
  <c r="H80"/>
  <c r="H33" i="12"/>
  <c r="E79" i="29"/>
  <c r="E80"/>
  <c r="E33" i="12"/>
  <c r="E35" s="1"/>
  <c r="D33" i="4" s="1"/>
  <c r="G79" i="29"/>
  <c r="G83"/>
  <c r="G84"/>
  <c r="G27" i="12"/>
  <c r="G30" s="1"/>
  <c r="F32" i="4" s="1"/>
  <c r="F40" s="1"/>
  <c r="F49" s="1"/>
  <c r="F83" i="29"/>
  <c r="F84"/>
  <c r="F27" i="12"/>
  <c r="F30"/>
  <c r="E32" i="4" s="1"/>
  <c r="E40" s="1"/>
  <c r="E49" s="1"/>
  <c r="E83" i="29"/>
  <c r="E84"/>
  <c r="E27" i="12"/>
  <c r="E30" s="1"/>
  <c r="D32" i="4" s="1"/>
  <c r="D40" s="1"/>
  <c r="D49" s="1"/>
  <c r="D83" i="29"/>
  <c r="D84"/>
  <c r="D27" i="12" s="1"/>
  <c r="D30" s="1"/>
  <c r="C32" i="4" s="1"/>
  <c r="C40" s="1"/>
  <c r="C49" s="1"/>
  <c r="H83" i="29"/>
  <c r="H84"/>
  <c r="H27" i="12"/>
  <c r="H30" s="1"/>
  <c r="G32" i="4" s="1"/>
  <c r="G40" s="1"/>
  <c r="G49" s="1"/>
  <c r="E88" i="29"/>
  <c r="F88"/>
  <c r="D66" i="30"/>
  <c r="D11" i="29"/>
  <c r="F25" i="26"/>
  <c r="F58" i="29"/>
  <c r="F66" i="30"/>
  <c r="F11" i="29"/>
  <c r="H25" i="26"/>
  <c r="H58" i="29"/>
  <c r="H66" i="30"/>
  <c r="H11" i="29"/>
  <c r="H73" s="1"/>
  <c r="E25" i="26"/>
  <c r="E58" i="29"/>
  <c r="E66" i="30"/>
  <c r="E11" i="29" s="1"/>
  <c r="G25" i="26"/>
  <c r="G58" i="29"/>
  <c r="G66" i="30"/>
  <c r="G11" i="29" s="1"/>
  <c r="D9" i="38"/>
  <c r="E9" i="30"/>
  <c r="E51" s="1"/>
  <c r="J51" s="1"/>
  <c r="F28" i="26"/>
  <c r="F83"/>
  <c r="F85"/>
  <c r="F20" i="29"/>
  <c r="E14" i="30"/>
  <c r="J14" s="1"/>
  <c r="O14" s="1"/>
  <c r="E43"/>
  <c r="J43" s="1"/>
  <c r="O43" s="1"/>
  <c r="E108"/>
  <c r="E116"/>
  <c r="E77"/>
  <c r="E81"/>
  <c r="E85"/>
  <c r="E76"/>
  <c r="E84"/>
  <c r="E93"/>
  <c r="E102"/>
  <c r="E111"/>
  <c r="E73"/>
  <c r="E110"/>
  <c r="E118"/>
  <c r="E90"/>
  <c r="E94"/>
  <c r="E99"/>
  <c r="E103"/>
  <c r="E70"/>
  <c r="E78"/>
  <c r="E87"/>
  <c r="E95"/>
  <c r="E104"/>
  <c r="E113"/>
  <c r="H70"/>
  <c r="M70" s="1"/>
  <c r="R70" s="1"/>
  <c r="H87"/>
  <c r="M87"/>
  <c r="R87" s="1"/>
  <c r="H104"/>
  <c r="M104" s="1"/>
  <c r="R104" s="1"/>
  <c r="H84"/>
  <c r="M84" s="1"/>
  <c r="R84" s="1"/>
  <c r="H102"/>
  <c r="M102" s="1"/>
  <c r="R102" s="1"/>
  <c r="H113"/>
  <c r="M113"/>
  <c r="R113" s="1"/>
  <c r="H73"/>
  <c r="M73" s="1"/>
  <c r="R73" s="1"/>
  <c r="H81"/>
  <c r="M81" s="1"/>
  <c r="R81" s="1"/>
  <c r="H90"/>
  <c r="M90" s="1"/>
  <c r="R90" s="1"/>
  <c r="H99"/>
  <c r="M99"/>
  <c r="R99" s="1"/>
  <c r="H108"/>
  <c r="M108" s="1"/>
  <c r="R108" s="1"/>
  <c r="H116"/>
  <c r="M116" s="1"/>
  <c r="R116" s="1"/>
  <c r="H82"/>
  <c r="M82" s="1"/>
  <c r="R82" s="1"/>
  <c r="H100"/>
  <c r="M100"/>
  <c r="R100" s="1"/>
  <c r="H80"/>
  <c r="M80" s="1"/>
  <c r="R80" s="1"/>
  <c r="H98"/>
  <c r="M98" s="1"/>
  <c r="R98" s="1"/>
  <c r="H111"/>
  <c r="M111" s="1"/>
  <c r="R111" s="1"/>
  <c r="H119"/>
  <c r="M119"/>
  <c r="R119" s="1"/>
  <c r="H75"/>
  <c r="M75" s="1"/>
  <c r="R75" s="1"/>
  <c r="H83"/>
  <c r="M83" s="1"/>
  <c r="R83" s="1"/>
  <c r="H92"/>
  <c r="M92" s="1"/>
  <c r="R92" s="1"/>
  <c r="H101"/>
  <c r="M101"/>
  <c r="R101" s="1"/>
  <c r="H110"/>
  <c r="M110" s="1"/>
  <c r="R110" s="1"/>
  <c r="D74"/>
  <c r="D91"/>
  <c r="I91" s="1"/>
  <c r="N91" s="1"/>
  <c r="D72"/>
  <c r="D89"/>
  <c r="I89" s="1"/>
  <c r="N89" s="1"/>
  <c r="D109"/>
  <c r="D117"/>
  <c r="I117" s="1"/>
  <c r="N117" s="1"/>
  <c r="D77"/>
  <c r="D85"/>
  <c r="I85" s="1"/>
  <c r="N85" s="1"/>
  <c r="D94"/>
  <c r="D103"/>
  <c r="I103" s="1"/>
  <c r="N103" s="1"/>
  <c r="D112"/>
  <c r="D70"/>
  <c r="I70" s="1"/>
  <c r="N70" s="1"/>
  <c r="D87"/>
  <c r="D104"/>
  <c r="I104" s="1"/>
  <c r="N104" s="1"/>
  <c r="D84"/>
  <c r="D102"/>
  <c r="I102" s="1"/>
  <c r="N102" s="1"/>
  <c r="D111"/>
  <c r="D119"/>
  <c r="I119" s="1"/>
  <c r="N119" s="1"/>
  <c r="D75"/>
  <c r="I75" s="1"/>
  <c r="N75" s="1"/>
  <c r="D83"/>
  <c r="I83" s="1"/>
  <c r="N83" s="1"/>
  <c r="D92"/>
  <c r="D101"/>
  <c r="I101"/>
  <c r="N101" s="1"/>
  <c r="D110"/>
  <c r="I110" s="1"/>
  <c r="G119"/>
  <c r="G71"/>
  <c r="G73"/>
  <c r="G85"/>
  <c r="G110"/>
  <c r="G114"/>
  <c r="G118"/>
  <c r="G88"/>
  <c r="G90"/>
  <c r="G92"/>
  <c r="G94"/>
  <c r="G97"/>
  <c r="G99"/>
  <c r="G101"/>
  <c r="G103"/>
  <c r="G105"/>
  <c r="G70"/>
  <c r="G74"/>
  <c r="G78"/>
  <c r="G82"/>
  <c r="G87"/>
  <c r="G91"/>
  <c r="G95"/>
  <c r="G100"/>
  <c r="G104"/>
  <c r="G109"/>
  <c r="G113"/>
  <c r="G117"/>
  <c r="G108"/>
  <c r="G112"/>
  <c r="G116"/>
  <c r="G75"/>
  <c r="G77"/>
  <c r="G79"/>
  <c r="G81"/>
  <c r="G83"/>
  <c r="G72"/>
  <c r="G76"/>
  <c r="G80"/>
  <c r="G84"/>
  <c r="G89"/>
  <c r="G93"/>
  <c r="G98"/>
  <c r="G102"/>
  <c r="G107"/>
  <c r="G111"/>
  <c r="G115"/>
  <c r="L115" s="1"/>
  <c r="Q115" s="1"/>
  <c r="F118"/>
  <c r="F76"/>
  <c r="F84"/>
  <c r="F93"/>
  <c r="K93" s="1"/>
  <c r="P93" s="1"/>
  <c r="F102"/>
  <c r="F74"/>
  <c r="F82"/>
  <c r="F91"/>
  <c r="K91" s="1"/>
  <c r="P91" s="1"/>
  <c r="F100"/>
  <c r="F107"/>
  <c r="F111"/>
  <c r="F115"/>
  <c r="K115" s="1"/>
  <c r="P115" s="1"/>
  <c r="F119"/>
  <c r="F71"/>
  <c r="F75"/>
  <c r="F79"/>
  <c r="K79" s="1"/>
  <c r="P79" s="1"/>
  <c r="F83"/>
  <c r="F88"/>
  <c r="F92"/>
  <c r="F97"/>
  <c r="K97" s="1"/>
  <c r="P97" s="1"/>
  <c r="F101"/>
  <c r="F105"/>
  <c r="F110"/>
  <c r="F114"/>
  <c r="K114" s="1"/>
  <c r="P114" s="1"/>
  <c r="F72"/>
  <c r="F80"/>
  <c r="F89"/>
  <c r="F98"/>
  <c r="K98" s="1"/>
  <c r="P98" s="1"/>
  <c r="F70"/>
  <c r="F78"/>
  <c r="F87"/>
  <c r="F95"/>
  <c r="K95" s="1"/>
  <c r="P95" s="1"/>
  <c r="F104"/>
  <c r="F109"/>
  <c r="F113"/>
  <c r="F117"/>
  <c r="K117" s="1"/>
  <c r="P117" s="1"/>
  <c r="F73"/>
  <c r="F77"/>
  <c r="F81"/>
  <c r="F85"/>
  <c r="K85" s="1"/>
  <c r="P85" s="1"/>
  <c r="F90"/>
  <c r="F94"/>
  <c r="F99"/>
  <c r="F103"/>
  <c r="K103" s="1"/>
  <c r="P103" s="1"/>
  <c r="F108"/>
  <c r="F112"/>
  <c r="F116"/>
  <c r="D16" i="24"/>
  <c r="E16" s="1"/>
  <c r="F16" s="1"/>
  <c r="G16" s="1"/>
  <c r="H16" s="1"/>
  <c r="D8"/>
  <c r="E8"/>
  <c r="F8" s="1"/>
  <c r="G8" s="1"/>
  <c r="H8" s="1"/>
  <c r="I18" i="19"/>
  <c r="H46" i="17"/>
  <c r="H1"/>
  <c r="D11" i="10"/>
  <c r="D12"/>
  <c r="D14" s="1"/>
  <c r="D32" s="1"/>
  <c r="D47" s="1"/>
  <c r="D13"/>
  <c r="D16"/>
  <c r="D21"/>
  <c r="D18"/>
  <c r="D26"/>
  <c r="D27"/>
  <c r="D28"/>
  <c r="D34" a="1"/>
  <c r="D34"/>
  <c r="D40"/>
  <c r="D44"/>
  <c r="D36" i="17"/>
  <c r="E45" i="30"/>
  <c r="E55"/>
  <c r="E47"/>
  <c r="E29"/>
  <c r="E39"/>
  <c r="E24"/>
  <c r="J24"/>
  <c r="O24" s="1"/>
  <c r="E16"/>
  <c r="J16" s="1"/>
  <c r="O16" s="1"/>
  <c r="E61"/>
  <c r="J61" s="1"/>
  <c r="O61" s="1"/>
  <c r="E36"/>
  <c r="J36" s="1"/>
  <c r="O36" s="1"/>
  <c r="E56"/>
  <c r="J56"/>
  <c r="O56" s="1"/>
  <c r="E33"/>
  <c r="J33" s="1"/>
  <c r="O33" s="1"/>
  <c r="E60"/>
  <c r="J60" s="1"/>
  <c r="O60" s="1"/>
  <c r="F28" i="24"/>
  <c r="F30" i="26"/>
  <c r="D67" i="29"/>
  <c r="D68"/>
  <c r="F67"/>
  <c r="F68"/>
  <c r="H68"/>
  <c r="H67"/>
  <c r="E68"/>
  <c r="E67"/>
  <c r="G67"/>
  <c r="G68"/>
  <c r="K116" i="30"/>
  <c r="P116" s="1"/>
  <c r="K108"/>
  <c r="P108" s="1"/>
  <c r="K99"/>
  <c r="P99" s="1"/>
  <c r="K90"/>
  <c r="P90" s="1"/>
  <c r="K81"/>
  <c r="P81" s="1"/>
  <c r="K73"/>
  <c r="P73" s="1"/>
  <c r="K113"/>
  <c r="P113" s="1"/>
  <c r="K104"/>
  <c r="P104" s="1"/>
  <c r="K87"/>
  <c r="P87" s="1"/>
  <c r="K70"/>
  <c r="P70" s="1"/>
  <c r="K89"/>
  <c r="P89" s="1"/>
  <c r="K72"/>
  <c r="P72" s="1"/>
  <c r="K110"/>
  <c r="P110" s="1"/>
  <c r="K101"/>
  <c r="P101" s="1"/>
  <c r="K92"/>
  <c r="P92" s="1"/>
  <c r="K83"/>
  <c r="P83" s="1"/>
  <c r="K75"/>
  <c r="P75" s="1"/>
  <c r="K119"/>
  <c r="P119" s="1"/>
  <c r="K111"/>
  <c r="P111" s="1"/>
  <c r="K100"/>
  <c r="P100" s="1"/>
  <c r="K82"/>
  <c r="P82" s="1"/>
  <c r="K102"/>
  <c r="P102" s="1"/>
  <c r="K84"/>
  <c r="P84" s="1"/>
  <c r="K118"/>
  <c r="P118" s="1"/>
  <c r="L111"/>
  <c r="Q111" s="1"/>
  <c r="L102"/>
  <c r="Q102" s="1"/>
  <c r="L93"/>
  <c r="Q93" s="1"/>
  <c r="L84"/>
  <c r="Q84" s="1"/>
  <c r="L76"/>
  <c r="Q76" s="1"/>
  <c r="L83"/>
  <c r="Q83" s="1"/>
  <c r="L79"/>
  <c r="Q79" s="1"/>
  <c r="L75"/>
  <c r="Q75" s="1"/>
  <c r="L112"/>
  <c r="Q112" s="1"/>
  <c r="L117"/>
  <c r="Q117" s="1"/>
  <c r="L109"/>
  <c r="Q109" s="1"/>
  <c r="L100"/>
  <c r="Q100" s="1"/>
  <c r="L91"/>
  <c r="Q91" s="1"/>
  <c r="L82"/>
  <c r="Q82" s="1"/>
  <c r="L74"/>
  <c r="Q74" s="1"/>
  <c r="L105"/>
  <c r="Q105" s="1"/>
  <c r="L101"/>
  <c r="Q101" s="1"/>
  <c r="L97"/>
  <c r="Q97" s="1"/>
  <c r="L92"/>
  <c r="Q92" s="1"/>
  <c r="L88"/>
  <c r="Q88" s="1"/>
  <c r="L114"/>
  <c r="Q114" s="1"/>
  <c r="L85"/>
  <c r="Q85" s="1"/>
  <c r="L71"/>
  <c r="Q71" s="1"/>
  <c r="K112"/>
  <c r="K94"/>
  <c r="K77"/>
  <c r="K109"/>
  <c r="K78"/>
  <c r="K80"/>
  <c r="K105"/>
  <c r="K88"/>
  <c r="K71"/>
  <c r="K107"/>
  <c r="K74"/>
  <c r="K76"/>
  <c r="L107"/>
  <c r="L98"/>
  <c r="L89"/>
  <c r="L80"/>
  <c r="L72"/>
  <c r="L81"/>
  <c r="L77"/>
  <c r="L116"/>
  <c r="L108"/>
  <c r="L113"/>
  <c r="L104"/>
  <c r="L95"/>
  <c r="L87"/>
  <c r="L78"/>
  <c r="L70"/>
  <c r="L103"/>
  <c r="L99"/>
  <c r="L94"/>
  <c r="L90"/>
  <c r="L118"/>
  <c r="L110"/>
  <c r="L73"/>
  <c r="L119"/>
  <c r="I92"/>
  <c r="I111"/>
  <c r="I84"/>
  <c r="I87"/>
  <c r="I112"/>
  <c r="I94"/>
  <c r="I77"/>
  <c r="I109"/>
  <c r="I72"/>
  <c r="I74"/>
  <c r="J113"/>
  <c r="J104"/>
  <c r="J95"/>
  <c r="J87"/>
  <c r="J78"/>
  <c r="J70"/>
  <c r="J103"/>
  <c r="J99"/>
  <c r="J94"/>
  <c r="J90"/>
  <c r="J118"/>
  <c r="J110"/>
  <c r="J73"/>
  <c r="J111"/>
  <c r="J102"/>
  <c r="J93"/>
  <c r="J84"/>
  <c r="J76"/>
  <c r="J85"/>
  <c r="J81"/>
  <c r="J77"/>
  <c r="J116"/>
  <c r="J108"/>
  <c r="J45"/>
  <c r="J55"/>
  <c r="O55"/>
  <c r="J47"/>
  <c r="O47"/>
  <c r="J29"/>
  <c r="O29"/>
  <c r="J39"/>
  <c r="F10" i="24"/>
  <c r="F9"/>
  <c r="F17"/>
  <c r="D29" i="10"/>
  <c r="D46"/>
  <c r="D53" s="1"/>
  <c r="E14" i="7"/>
  <c r="F14"/>
  <c r="G14" s="1"/>
  <c r="H14" s="1"/>
  <c r="E12"/>
  <c r="F12"/>
  <c r="G12"/>
  <c r="H12"/>
  <c r="H34" i="12"/>
  <c r="H35" s="1"/>
  <c r="G33" i="4" s="1"/>
  <c r="F34" i="12"/>
  <c r="G34"/>
  <c r="D34"/>
  <c r="G27" i="29"/>
  <c r="H27"/>
  <c r="O39" i="30"/>
  <c r="O45"/>
  <c r="D30" i="10"/>
  <c r="D7" i="7"/>
  <c r="D7" i="12"/>
  <c r="C7" i="4"/>
  <c r="I45" i="12"/>
  <c r="B45"/>
  <c r="B44"/>
  <c r="B43"/>
  <c r="H29" i="7"/>
  <c r="B18" i="19"/>
  <c r="B17"/>
  <c r="B16"/>
  <c r="B4"/>
  <c r="D27" i="29"/>
  <c r="E27"/>
  <c r="F27"/>
  <c r="F80"/>
  <c r="F33" i="12"/>
  <c r="F35" s="1"/>
  <c r="E33" i="4" s="1"/>
  <c r="F31" i="29"/>
  <c r="G31"/>
  <c r="D31"/>
  <c r="H31"/>
  <c r="G80"/>
  <c r="G33" i="12"/>
  <c r="G35" s="1"/>
  <c r="F33" i="4" s="1"/>
  <c r="C10"/>
  <c r="E9" i="39" s="1"/>
  <c r="F10" i="4"/>
  <c r="H9" i="39" s="1"/>
  <c r="D10" i="4"/>
  <c r="F9" i="39" s="1"/>
  <c r="E10" i="4"/>
  <c r="G9" i="39" s="1"/>
  <c r="E31" i="5"/>
  <c r="B4" i="17"/>
  <c r="E7"/>
  <c r="F7"/>
  <c r="G7" s="1"/>
  <c r="H7" s="1"/>
  <c r="B45"/>
  <c r="B46"/>
  <c r="I1" i="10"/>
  <c r="E7" i="12"/>
  <c r="F7"/>
  <c r="G7" s="1"/>
  <c r="H7" s="1"/>
  <c r="E7" i="7"/>
  <c r="F7"/>
  <c r="G7" s="1"/>
  <c r="H7" s="1"/>
  <c r="D7" i="4"/>
  <c r="E7"/>
  <c r="F7" s="1"/>
  <c r="G7" s="1"/>
  <c r="I51" i="10"/>
  <c r="E51" i="2"/>
  <c r="F48"/>
  <c r="F51"/>
  <c r="B2" i="12"/>
  <c r="B1"/>
  <c r="H44" i="9"/>
  <c r="J70" i="2"/>
  <c r="J30"/>
  <c r="C9" i="1"/>
  <c r="C14"/>
  <c r="G2" i="38" s="1"/>
  <c r="C15" i="1"/>
  <c r="I3" i="30" s="1"/>
  <c r="B1" i="2"/>
  <c r="B2"/>
  <c r="B6"/>
  <c r="E6"/>
  <c r="F6" s="1"/>
  <c r="E10"/>
  <c r="F8"/>
  <c r="F10"/>
  <c r="G8"/>
  <c r="G10"/>
  <c r="H8"/>
  <c r="H10"/>
  <c r="I8"/>
  <c r="I10"/>
  <c r="J8"/>
  <c r="J10"/>
  <c r="C13"/>
  <c r="C16"/>
  <c r="E16"/>
  <c r="F13"/>
  <c r="F16"/>
  <c r="G13"/>
  <c r="G16"/>
  <c r="H13"/>
  <c r="H16"/>
  <c r="I13"/>
  <c r="I16"/>
  <c r="J13"/>
  <c r="J16"/>
  <c r="F30"/>
  <c r="G30"/>
  <c r="H30"/>
  <c r="I30"/>
  <c r="B68"/>
  <c r="B69"/>
  <c r="B70"/>
  <c r="I70"/>
  <c r="B1" i="7"/>
  <c r="B2"/>
  <c r="B27"/>
  <c r="B28"/>
  <c r="B29"/>
  <c r="B1" i="9"/>
  <c r="B1" i="17" s="1"/>
  <c r="B2" i="9"/>
  <c r="D7"/>
  <c r="E7"/>
  <c r="F7" s="1"/>
  <c r="G7" s="1"/>
  <c r="H7" s="1"/>
  <c r="D13"/>
  <c r="D16" s="1"/>
  <c r="E13"/>
  <c r="E16" s="1"/>
  <c r="F13"/>
  <c r="G13"/>
  <c r="H13"/>
  <c r="D14"/>
  <c r="E14"/>
  <c r="F14"/>
  <c r="F16" s="1"/>
  <c r="G14"/>
  <c r="H14"/>
  <c r="H16" s="1"/>
  <c r="D15"/>
  <c r="E15"/>
  <c r="F15"/>
  <c r="G15"/>
  <c r="H15"/>
  <c r="B42"/>
  <c r="B43"/>
  <c r="B44"/>
  <c r="B1" i="8"/>
  <c r="B2"/>
  <c r="AC7"/>
  <c r="AC8"/>
  <c r="AC9"/>
  <c r="AC10"/>
  <c r="D14"/>
  <c r="E14"/>
  <c r="F14" s="1"/>
  <c r="D28"/>
  <c r="D29"/>
  <c r="B32"/>
  <c r="B33"/>
  <c r="B34"/>
  <c r="H34"/>
  <c r="B1" i="10"/>
  <c r="B2"/>
  <c r="B4"/>
  <c r="E9"/>
  <c r="F9" s="1"/>
  <c r="E18"/>
  <c r="F18"/>
  <c r="G18"/>
  <c r="H18"/>
  <c r="I18"/>
  <c r="E39"/>
  <c r="F39"/>
  <c r="G39"/>
  <c r="H39"/>
  <c r="I39"/>
  <c r="B49"/>
  <c r="B50"/>
  <c r="B51"/>
  <c r="B1" i="4"/>
  <c r="C23"/>
  <c r="E8" i="11"/>
  <c r="D23" i="4"/>
  <c r="F8" i="11"/>
  <c r="E23" i="4"/>
  <c r="G8" i="11"/>
  <c r="F23" i="4"/>
  <c r="H8" i="11"/>
  <c r="G23" i="4"/>
  <c r="I8" i="11"/>
  <c r="B54" i="4"/>
  <c r="B55"/>
  <c r="B56"/>
  <c r="B1" i="11"/>
  <c r="B2"/>
  <c r="E5"/>
  <c r="F5"/>
  <c r="F48" s="1"/>
  <c r="D37"/>
  <c r="D70"/>
  <c r="E51"/>
  <c r="E52"/>
  <c r="E53"/>
  <c r="D72"/>
  <c r="B76"/>
  <c r="B77"/>
  <c r="B78"/>
  <c r="I78"/>
  <c r="B1" i="5"/>
  <c r="B2"/>
  <c r="F7"/>
  <c r="G7"/>
  <c r="H7" s="1"/>
  <c r="B36"/>
  <c r="B37"/>
  <c r="B38"/>
  <c r="J38"/>
  <c r="F36" i="10"/>
  <c r="E26"/>
  <c r="E31" i="29"/>
  <c r="D38" i="11"/>
  <c r="G36" i="10"/>
  <c r="H51" i="11" s="1"/>
  <c r="F51"/>
  <c r="E25" i="8"/>
  <c r="E28"/>
  <c r="D17"/>
  <c r="F25"/>
  <c r="F28"/>
  <c r="G25"/>
  <c r="AC11"/>
  <c r="G16" i="9"/>
  <c r="G26" i="10"/>
  <c r="G48" i="2"/>
  <c r="G51"/>
  <c r="F12" i="10"/>
  <c r="F64" i="11"/>
  <c r="F26" i="10"/>
  <c r="E12"/>
  <c r="E64" i="11" s="1"/>
  <c r="E29" i="8"/>
  <c r="F29"/>
  <c r="G12" i="10"/>
  <c r="G64" i="11" s="1"/>
  <c r="H48" i="2"/>
  <c r="H51"/>
  <c r="G28" i="8"/>
  <c r="G29"/>
  <c r="E48" i="11" a="1"/>
  <c r="E46" i="2" a="1"/>
  <c r="E46"/>
  <c r="I48"/>
  <c r="I51"/>
  <c r="H12" i="10"/>
  <c r="H64" i="11"/>
  <c r="E29" i="2" a="1"/>
  <c r="E19" a="1"/>
  <c r="H25" i="8"/>
  <c r="H26" i="10"/>
  <c r="E54" i="2" a="1"/>
  <c r="D24" i="8" a="1"/>
  <c r="E25" i="5" a="1"/>
  <c r="E34" i="10" a="1"/>
  <c r="J46" i="2" a="1"/>
  <c r="J19" a="1"/>
  <c r="J54" a="1"/>
  <c r="J29" a="1"/>
  <c r="H28" i="8"/>
  <c r="J48" i="2"/>
  <c r="J51"/>
  <c r="I12" i="10"/>
  <c r="I64" i="11"/>
  <c r="D24" i="8"/>
  <c r="E16" i="5" a="1"/>
  <c r="I24" i="8" a="1"/>
  <c r="I25"/>
  <c r="I26" i="10"/>
  <c r="E16" i="5"/>
  <c r="H29" i="8"/>
  <c r="I28"/>
  <c r="I29"/>
  <c r="D21" i="17"/>
  <c r="E30" i="2"/>
  <c r="I36"/>
  <c r="E36"/>
  <c r="H36"/>
  <c r="G36"/>
  <c r="J36"/>
  <c r="F36"/>
  <c r="D112" i="29"/>
  <c r="D9" i="7" s="1"/>
  <c r="D11" i="38"/>
  <c r="B1" i="39"/>
  <c r="G5" i="11"/>
  <c r="G48" s="1"/>
  <c r="E17" i="8"/>
  <c r="E24"/>
  <c r="F16" i="5"/>
  <c r="F25"/>
  <c r="E19" i="2"/>
  <c r="E72" s="1"/>
  <c r="E31" s="1"/>
  <c r="E29"/>
  <c r="E25" i="5"/>
  <c r="E48" i="11"/>
  <c r="D18" i="8"/>
  <c r="D19" s="1"/>
  <c r="P112" i="30"/>
  <c r="P94"/>
  <c r="P77"/>
  <c r="P109"/>
  <c r="P78"/>
  <c r="P80"/>
  <c r="P105"/>
  <c r="P88"/>
  <c r="P71"/>
  <c r="P107"/>
  <c r="P74"/>
  <c r="P76"/>
  <c r="F23" i="12" s="1"/>
  <c r="Q107" i="30"/>
  <c r="Q98"/>
  <c r="Q89"/>
  <c r="Q80"/>
  <c r="Q72"/>
  <c r="Q81"/>
  <c r="Q77"/>
  <c r="Q116"/>
  <c r="Q108"/>
  <c r="Q113"/>
  <c r="Q104"/>
  <c r="Q95"/>
  <c r="Q87"/>
  <c r="Q78"/>
  <c r="Q70"/>
  <c r="Q103"/>
  <c r="Q99"/>
  <c r="Q94"/>
  <c r="Q90"/>
  <c r="Q118"/>
  <c r="Q110"/>
  <c r="Q73"/>
  <c r="Q119"/>
  <c r="O113"/>
  <c r="O104"/>
  <c r="O95"/>
  <c r="O87"/>
  <c r="O78"/>
  <c r="O70"/>
  <c r="O103"/>
  <c r="O99"/>
  <c r="O94"/>
  <c r="O90"/>
  <c r="O118"/>
  <c r="O110"/>
  <c r="O73"/>
  <c r="O111"/>
  <c r="O102"/>
  <c r="O93"/>
  <c r="O84"/>
  <c r="O76"/>
  <c r="O85"/>
  <c r="O81"/>
  <c r="O77"/>
  <c r="O116"/>
  <c r="O108"/>
  <c r="E42"/>
  <c r="E53"/>
  <c r="J53" s="1"/>
  <c r="O53" s="1"/>
  <c r="E22"/>
  <c r="E59"/>
  <c r="O59" s="1"/>
  <c r="E9" i="29"/>
  <c r="E17" i="30"/>
  <c r="O17" s="1"/>
  <c r="E37"/>
  <c r="E21"/>
  <c r="J21" s="1"/>
  <c r="O21" s="1"/>
  <c r="E62"/>
  <c r="E63"/>
  <c r="O63" s="1"/>
  <c r="E18"/>
  <c r="E26"/>
  <c r="O26" s="1"/>
  <c r="E44"/>
  <c r="E34"/>
  <c r="J34" s="1"/>
  <c r="O34" s="1"/>
  <c r="E52"/>
  <c r="E25"/>
  <c r="O25" s="1"/>
  <c r="E49"/>
  <c r="E54"/>
  <c r="O54" s="1"/>
  <c r="E32"/>
  <c r="E58"/>
  <c r="O58" s="1"/>
  <c r="E38"/>
  <c r="E48"/>
  <c r="J48" s="1"/>
  <c r="O48" s="1"/>
  <c r="E31"/>
  <c r="E20"/>
  <c r="O20" s="1"/>
  <c r="E19"/>
  <c r="E57"/>
  <c r="O57" s="1"/>
  <c r="E23"/>
  <c r="E46"/>
  <c r="J46" s="1"/>
  <c r="E15"/>
  <c r="O15" s="1"/>
  <c r="E10" i="29"/>
  <c r="H74"/>
  <c r="K147" i="30"/>
  <c r="P147" s="1"/>
  <c r="K142"/>
  <c r="P142" s="1"/>
  <c r="L141"/>
  <c r="Q141" s="1"/>
  <c r="L137"/>
  <c r="Q137" s="1"/>
  <c r="K134"/>
  <c r="P134" s="1"/>
  <c r="K130"/>
  <c r="P130" s="1"/>
  <c r="M128"/>
  <c r="R128" s="1"/>
  <c r="K135"/>
  <c r="P135" s="1"/>
  <c r="M129"/>
  <c r="R129" s="1"/>
  <c r="E106" i="29"/>
  <c r="F106" s="1"/>
  <c r="G23" i="24"/>
  <c r="L148" i="30"/>
  <c r="Q148" s="1"/>
  <c r="M147"/>
  <c r="R147" s="1"/>
  <c r="K145"/>
  <c r="P145" s="1"/>
  <c r="L144"/>
  <c r="Q144" s="1"/>
  <c r="L139"/>
  <c r="Q139" s="1"/>
  <c r="M138"/>
  <c r="R138" s="1"/>
  <c r="K136"/>
  <c r="P136" s="1"/>
  <c r="L135"/>
  <c r="Q135" s="1"/>
  <c r="K132"/>
  <c r="P132" s="1"/>
  <c r="M130"/>
  <c r="R130" s="1"/>
  <c r="L145"/>
  <c r="Q145" s="1"/>
  <c r="L140"/>
  <c r="Q140" s="1"/>
  <c r="L136"/>
  <c r="Q136" s="1"/>
  <c r="L134"/>
  <c r="Q134" s="1"/>
  <c r="L130"/>
  <c r="Q130" s="1"/>
  <c r="M141"/>
  <c r="R141" s="1"/>
  <c r="K139"/>
  <c r="P139" s="1"/>
  <c r="M133"/>
  <c r="R133" s="1"/>
  <c r="J57"/>
  <c r="J20"/>
  <c r="J58"/>
  <c r="J54"/>
  <c r="J25"/>
  <c r="J26"/>
  <c r="J63"/>
  <c r="J17"/>
  <c r="J59"/>
  <c r="J15"/>
  <c r="J23"/>
  <c r="O23" s="1"/>
  <c r="J19"/>
  <c r="O19" s="1"/>
  <c r="J31"/>
  <c r="O31" s="1"/>
  <c r="J38"/>
  <c r="O38" s="1"/>
  <c r="J32"/>
  <c r="O32" s="1"/>
  <c r="J49"/>
  <c r="O49" s="1"/>
  <c r="J52"/>
  <c r="O52" s="1"/>
  <c r="J44"/>
  <c r="O44" s="1"/>
  <c r="J18"/>
  <c r="O18" s="1"/>
  <c r="J62"/>
  <c r="O62" s="1"/>
  <c r="J37"/>
  <c r="O37" s="1"/>
  <c r="E18" i="29"/>
  <c r="E63" s="1"/>
  <c r="J22" i="30"/>
  <c r="O22" s="1"/>
  <c r="J42"/>
  <c r="H5" i="11"/>
  <c r="I5"/>
  <c r="I48" s="1"/>
  <c r="H48"/>
  <c r="E19" i="29"/>
  <c r="E64" s="1"/>
  <c r="O42" i="30"/>
  <c r="F93" i="29"/>
  <c r="E112"/>
  <c r="E9" i="7" s="1"/>
  <c r="E90" i="29"/>
  <c r="E17" i="9" s="1"/>
  <c r="F87" i="29"/>
  <c r="G87"/>
  <c r="H87"/>
  <c r="G28" i="26"/>
  <c r="F9" i="30"/>
  <c r="F60" s="1"/>
  <c r="K60" s="1"/>
  <c r="E41"/>
  <c r="E35"/>
  <c r="J35" s="1"/>
  <c r="E28"/>
  <c r="J28" s="1"/>
  <c r="E34" i="28"/>
  <c r="E33"/>
  <c r="F33"/>
  <c r="F35" s="1"/>
  <c r="F37" s="1"/>
  <c r="F34"/>
  <c r="G33"/>
  <c r="E132" i="30"/>
  <c r="E129"/>
  <c r="E135"/>
  <c r="E137"/>
  <c r="E139"/>
  <c r="J139" s="1"/>
  <c r="E146"/>
  <c r="E148"/>
  <c r="E149"/>
  <c r="E134"/>
  <c r="J134" s="1"/>
  <c r="E128"/>
  <c r="E136"/>
  <c r="E145"/>
  <c r="E127"/>
  <c r="E131"/>
  <c r="E133"/>
  <c r="J133" s="1"/>
  <c r="E141"/>
  <c r="E144"/>
  <c r="E140"/>
  <c r="E130"/>
  <c r="J130" s="1"/>
  <c r="E138"/>
  <c r="E147"/>
  <c r="E150"/>
  <c r="E142"/>
  <c r="J142" s="1"/>
  <c r="E151"/>
  <c r="E152"/>
  <c r="J152" s="1"/>
  <c r="D131"/>
  <c r="D137"/>
  <c r="I137" s="1"/>
  <c r="D139"/>
  <c r="D141"/>
  <c r="D144"/>
  <c r="D148"/>
  <c r="I148" s="1"/>
  <c r="D150"/>
  <c r="D128"/>
  <c r="I128" s="1"/>
  <c r="D130"/>
  <c r="D132"/>
  <c r="D134"/>
  <c r="D127"/>
  <c r="I127" s="1"/>
  <c r="N127" s="1"/>
  <c r="D129"/>
  <c r="D133"/>
  <c r="D135"/>
  <c r="D146"/>
  <c r="I146" s="1"/>
  <c r="D152"/>
  <c r="D136"/>
  <c r="I136" s="1"/>
  <c r="D138"/>
  <c r="D140"/>
  <c r="D142"/>
  <c r="D145"/>
  <c r="I145" s="1"/>
  <c r="D147"/>
  <c r="D149"/>
  <c r="D151"/>
  <c r="G74" i="29"/>
  <c r="G73"/>
  <c r="E74"/>
  <c r="E73"/>
  <c r="G9" i="30"/>
  <c r="N110"/>
  <c r="N92"/>
  <c r="N111"/>
  <c r="N84"/>
  <c r="N87"/>
  <c r="N112"/>
  <c r="N94"/>
  <c r="N77"/>
  <c r="N109"/>
  <c r="N72"/>
  <c r="N74"/>
  <c r="H114"/>
  <c r="H105"/>
  <c r="H97"/>
  <c r="H88"/>
  <c r="H79"/>
  <c r="H71"/>
  <c r="H115"/>
  <c r="M115" s="1"/>
  <c r="H107"/>
  <c r="H89"/>
  <c r="M89" s="1"/>
  <c r="H72"/>
  <c r="H91"/>
  <c r="M91" s="1"/>
  <c r="H74"/>
  <c r="H112"/>
  <c r="M112" s="1"/>
  <c r="H103"/>
  <c r="H94"/>
  <c r="M94" s="1"/>
  <c r="H85"/>
  <c r="H77"/>
  <c r="M77" s="1"/>
  <c r="H117"/>
  <c r="H109"/>
  <c r="M109" s="1"/>
  <c r="H93"/>
  <c r="H76"/>
  <c r="M76" s="1"/>
  <c r="H95"/>
  <c r="H78"/>
  <c r="M78" s="1"/>
  <c r="H118"/>
  <c r="H28" i="26"/>
  <c r="H9" i="30"/>
  <c r="G23" i="12"/>
  <c r="G39" i="30"/>
  <c r="L39" s="1"/>
  <c r="Q39" s="1"/>
  <c r="G37"/>
  <c r="G26"/>
  <c r="L26" s="1"/>
  <c r="Q26" s="1"/>
  <c r="G21"/>
  <c r="G38"/>
  <c r="F73" i="29"/>
  <c r="F74"/>
  <c r="F37" i="30"/>
  <c r="F32"/>
  <c r="F26"/>
  <c r="F23"/>
  <c r="F51"/>
  <c r="F18"/>
  <c r="F90" i="29"/>
  <c r="F17" i="9"/>
  <c r="G88" i="29"/>
  <c r="D13" i="28"/>
  <c r="E27" i="30"/>
  <c r="E28" i="26"/>
  <c r="D74" i="29"/>
  <c r="D73"/>
  <c r="D114" i="30"/>
  <c r="D105"/>
  <c r="I105" s="1"/>
  <c r="D97"/>
  <c r="D88"/>
  <c r="I88" s="1"/>
  <c r="D79"/>
  <c r="D71"/>
  <c r="I71" s="1"/>
  <c r="D115"/>
  <c r="D107"/>
  <c r="I107" s="1"/>
  <c r="D93"/>
  <c r="D76"/>
  <c r="I76" s="1"/>
  <c r="D95"/>
  <c r="D78"/>
  <c r="I78" s="1"/>
  <c r="D116"/>
  <c r="D108"/>
  <c r="I108" s="1"/>
  <c r="D99"/>
  <c r="D90"/>
  <c r="I90" s="1"/>
  <c r="D81"/>
  <c r="D73"/>
  <c r="I73" s="1"/>
  <c r="D113"/>
  <c r="D98"/>
  <c r="I98" s="1"/>
  <c r="D80"/>
  <c r="D100"/>
  <c r="I100" s="1"/>
  <c r="D82"/>
  <c r="D118"/>
  <c r="I118" s="1"/>
  <c r="D25" i="26"/>
  <c r="G62" i="30"/>
  <c r="G28"/>
  <c r="G63"/>
  <c r="G22"/>
  <c r="G34"/>
  <c r="G52"/>
  <c r="G10" i="29"/>
  <c r="F21"/>
  <c r="F66"/>
  <c r="F65"/>
  <c r="O46" i="30"/>
  <c r="D15" i="28"/>
  <c r="D28" i="26"/>
  <c r="D58" i="29"/>
  <c r="D9" i="30"/>
  <c r="G93" i="29"/>
  <c r="G83" i="26"/>
  <c r="G85"/>
  <c r="G20" i="29"/>
  <c r="G28" i="24"/>
  <c r="G9"/>
  <c r="G30" i="26"/>
  <c r="G10" i="24"/>
  <c r="G13" s="1"/>
  <c r="G15" i="7" s="1"/>
  <c r="G17" i="24"/>
  <c r="F9" i="29"/>
  <c r="F42" i="30"/>
  <c r="F47"/>
  <c r="F22"/>
  <c r="F14"/>
  <c r="F43"/>
  <c r="F17"/>
  <c r="F33"/>
  <c r="F62"/>
  <c r="K62" s="1"/>
  <c r="P62" s="1"/>
  <c r="F10" i="29"/>
  <c r="F63" i="30"/>
  <c r="K63" s="1"/>
  <c r="F29"/>
  <c r="F45"/>
  <c r="F49"/>
  <c r="F39"/>
  <c r="F34"/>
  <c r="F16"/>
  <c r="F59"/>
  <c r="F24"/>
  <c r="J41"/>
  <c r="D14" i="28"/>
  <c r="J151" i="30"/>
  <c r="O151" s="1"/>
  <c r="J150"/>
  <c r="O150" s="1"/>
  <c r="J147"/>
  <c r="J144"/>
  <c r="J127"/>
  <c r="J145"/>
  <c r="O145" s="1"/>
  <c r="J128"/>
  <c r="O128" s="1"/>
  <c r="J149"/>
  <c r="O149" s="1"/>
  <c r="J146"/>
  <c r="O146" s="1"/>
  <c r="J137"/>
  <c r="O137" s="1"/>
  <c r="J129"/>
  <c r="O129" s="1"/>
  <c r="J132"/>
  <c r="J138"/>
  <c r="O138" s="1"/>
  <c r="J140"/>
  <c r="O140" s="1"/>
  <c r="J141"/>
  <c r="O141" s="1"/>
  <c r="J131"/>
  <c r="O131" s="1"/>
  <c r="J136"/>
  <c r="J148"/>
  <c r="J135"/>
  <c r="I151"/>
  <c r="N151" s="1"/>
  <c r="I149"/>
  <c r="I140"/>
  <c r="I152"/>
  <c r="N152" s="1"/>
  <c r="I135"/>
  <c r="N135" s="1"/>
  <c r="I129"/>
  <c r="N129" s="1"/>
  <c r="I132"/>
  <c r="I150"/>
  <c r="N150" s="1"/>
  <c r="I144"/>
  <c r="N144" s="1"/>
  <c r="I139"/>
  <c r="N139" s="1"/>
  <c r="I131"/>
  <c r="N131" s="1"/>
  <c r="I147"/>
  <c r="N147" s="1"/>
  <c r="I142"/>
  <c r="N142" s="1"/>
  <c r="I138"/>
  <c r="N138" s="1"/>
  <c r="I133"/>
  <c r="I134"/>
  <c r="N134" s="1"/>
  <c r="I130"/>
  <c r="N130" s="1"/>
  <c r="I141"/>
  <c r="G9" i="29"/>
  <c r="G14" i="30"/>
  <c r="G53"/>
  <c r="L53" s="1"/>
  <c r="G17"/>
  <c r="L17" s="1"/>
  <c r="Q17" s="1"/>
  <c r="G31"/>
  <c r="G19"/>
  <c r="G36"/>
  <c r="G54"/>
  <c r="L54" s="1"/>
  <c r="Q54" s="1"/>
  <c r="G29"/>
  <c r="L29" s="1"/>
  <c r="G60"/>
  <c r="G51"/>
  <c r="G33"/>
  <c r="G15"/>
  <c r="G23"/>
  <c r="L23" s="1"/>
  <c r="Q23" s="1"/>
  <c r="G32"/>
  <c r="G41"/>
  <c r="G20"/>
  <c r="H28"/>
  <c r="H15"/>
  <c r="H52"/>
  <c r="H45"/>
  <c r="H34"/>
  <c r="H57"/>
  <c r="H41"/>
  <c r="H14"/>
  <c r="H38"/>
  <c r="H17"/>
  <c r="H26"/>
  <c r="H33"/>
  <c r="H48"/>
  <c r="H44"/>
  <c r="M44"/>
  <c r="R44" s="1"/>
  <c r="H9" i="29"/>
  <c r="H39" i="30"/>
  <c r="M39" s="1"/>
  <c r="H51"/>
  <c r="M51"/>
  <c r="R51" s="1"/>
  <c r="H37"/>
  <c r="H58"/>
  <c r="M58" s="1"/>
  <c r="H19"/>
  <c r="H29"/>
  <c r="M29" s="1"/>
  <c r="H62"/>
  <c r="H36"/>
  <c r="M36" s="1"/>
  <c r="H54"/>
  <c r="H22"/>
  <c r="M22" s="1"/>
  <c r="H47"/>
  <c r="H63"/>
  <c r="M63" s="1"/>
  <c r="H43"/>
  <c r="H59"/>
  <c r="M59" s="1"/>
  <c r="H60"/>
  <c r="H32"/>
  <c r="M32" s="1"/>
  <c r="H56"/>
  <c r="H25"/>
  <c r="M25" s="1"/>
  <c r="H21"/>
  <c r="H16"/>
  <c r="M16" s="1"/>
  <c r="H42"/>
  <c r="H53"/>
  <c r="M53" s="1"/>
  <c r="H35"/>
  <c r="H24"/>
  <c r="M24" s="1"/>
  <c r="H10" i="29"/>
  <c r="M118" i="30"/>
  <c r="R118" s="1"/>
  <c r="M95"/>
  <c r="R95" s="1"/>
  <c r="M93"/>
  <c r="R93" s="1"/>
  <c r="M117"/>
  <c r="R117" s="1"/>
  <c r="M85"/>
  <c r="R85" s="1"/>
  <c r="M103"/>
  <c r="R103" s="1"/>
  <c r="M74"/>
  <c r="R74" s="1"/>
  <c r="M72"/>
  <c r="R72" s="1"/>
  <c r="M107"/>
  <c r="R107" s="1"/>
  <c r="M71"/>
  <c r="R71" s="1"/>
  <c r="M88"/>
  <c r="R88" s="1"/>
  <c r="M105"/>
  <c r="R105" s="1"/>
  <c r="H83" i="26"/>
  <c r="H85"/>
  <c r="H20" i="29"/>
  <c r="H28" i="24"/>
  <c r="H10"/>
  <c r="H17"/>
  <c r="H30" i="26"/>
  <c r="H9" i="24"/>
  <c r="R78" i="30"/>
  <c r="R76"/>
  <c r="R109"/>
  <c r="R77"/>
  <c r="R94"/>
  <c r="R112"/>
  <c r="R91"/>
  <c r="R89"/>
  <c r="R115"/>
  <c r="M79"/>
  <c r="M97"/>
  <c r="M114"/>
  <c r="L38"/>
  <c r="Q38" s="1"/>
  <c r="K18"/>
  <c r="P18" s="1"/>
  <c r="K51"/>
  <c r="P51" s="1"/>
  <c r="K23"/>
  <c r="P23" s="1"/>
  <c r="K26"/>
  <c r="P26" s="1"/>
  <c r="K32"/>
  <c r="P32" s="1"/>
  <c r="K37"/>
  <c r="P37" s="1"/>
  <c r="P60"/>
  <c r="E30" i="26"/>
  <c r="E9" i="24"/>
  <c r="E83" i="26"/>
  <c r="E85"/>
  <c r="E20" i="29"/>
  <c r="E28" i="24"/>
  <c r="E10"/>
  <c r="E13" s="1"/>
  <c r="E15" i="7" s="1"/>
  <c r="E17" i="24"/>
  <c r="J27" i="30"/>
  <c r="O27" s="1"/>
  <c r="H88" i="29"/>
  <c r="H90" s="1"/>
  <c r="H17" i="9" s="1"/>
  <c r="G90" i="29"/>
  <c r="G17" i="9"/>
  <c r="I82" i="30"/>
  <c r="N82"/>
  <c r="I80"/>
  <c r="N80"/>
  <c r="I113"/>
  <c r="N113"/>
  <c r="I81"/>
  <c r="N81"/>
  <c r="I99"/>
  <c r="N99"/>
  <c r="I116"/>
  <c r="N116"/>
  <c r="I95"/>
  <c r="N95"/>
  <c r="I93"/>
  <c r="N93"/>
  <c r="I115"/>
  <c r="N115"/>
  <c r="I79"/>
  <c r="N79"/>
  <c r="I97"/>
  <c r="N97"/>
  <c r="I114"/>
  <c r="N114"/>
  <c r="N118"/>
  <c r="N100"/>
  <c r="N98"/>
  <c r="N73"/>
  <c r="N90"/>
  <c r="N108"/>
  <c r="N78"/>
  <c r="N76"/>
  <c r="N107"/>
  <c r="N71"/>
  <c r="N88"/>
  <c r="N105"/>
  <c r="G18" i="24"/>
  <c r="G10" i="12" s="1"/>
  <c r="L52" i="30"/>
  <c r="L34"/>
  <c r="L22"/>
  <c r="L63"/>
  <c r="L28"/>
  <c r="L62"/>
  <c r="O51"/>
  <c r="D23" i="28" s="1"/>
  <c r="D10" i="29"/>
  <c r="D23" i="30"/>
  <c r="D27"/>
  <c r="D61"/>
  <c r="D42"/>
  <c r="D63"/>
  <c r="D14"/>
  <c r="D34"/>
  <c r="D62"/>
  <c r="D57"/>
  <c r="D37"/>
  <c r="D52"/>
  <c r="D58"/>
  <c r="D29"/>
  <c r="D48"/>
  <c r="D45"/>
  <c r="D24"/>
  <c r="D47"/>
  <c r="D9" i="29"/>
  <c r="D18" s="1"/>
  <c r="D26" i="30"/>
  <c r="D25"/>
  <c r="D59"/>
  <c r="D49"/>
  <c r="D28"/>
  <c r="D38"/>
  <c r="D28" i="24"/>
  <c r="D10"/>
  <c r="D13" s="1"/>
  <c r="D15" i="7" s="1"/>
  <c r="D9" i="24"/>
  <c r="D30" i="26"/>
  <c r="D83"/>
  <c r="D85"/>
  <c r="D20" i="29"/>
  <c r="D17" i="24"/>
  <c r="D25" s="1"/>
  <c r="D13" i="7" s="1"/>
  <c r="H93" i="29"/>
  <c r="G65"/>
  <c r="G21"/>
  <c r="G66" s="1"/>
  <c r="K33" i="30"/>
  <c r="P33" s="1"/>
  <c r="K17"/>
  <c r="P17" s="1"/>
  <c r="K43"/>
  <c r="P43" s="1"/>
  <c r="K14"/>
  <c r="P14" s="1"/>
  <c r="K22"/>
  <c r="P22" s="1"/>
  <c r="K47"/>
  <c r="P47" s="1"/>
  <c r="K42"/>
  <c r="P42" s="1"/>
  <c r="F31" i="24"/>
  <c r="F30"/>
  <c r="F22" i="12"/>
  <c r="F18" i="29"/>
  <c r="F19" i="24"/>
  <c r="F21" i="12" s="1"/>
  <c r="K24" i="30"/>
  <c r="K59"/>
  <c r="K16"/>
  <c r="K34"/>
  <c r="K39"/>
  <c r="K49"/>
  <c r="K45"/>
  <c r="K29"/>
  <c r="F18" i="24"/>
  <c r="F10" i="12" s="1"/>
  <c r="F29" i="24"/>
  <c r="O41" i="30"/>
  <c r="D22" i="28" s="1"/>
  <c r="L60" i="30"/>
  <c r="Q29"/>
  <c r="L31"/>
  <c r="L14"/>
  <c r="G19" i="24"/>
  <c r="G21" i="12" s="1"/>
  <c r="G31" i="24"/>
  <c r="L20" i="30"/>
  <c r="Q20"/>
  <c r="L41"/>
  <c r="Q41"/>
  <c r="L15"/>
  <c r="Q15"/>
  <c r="L33"/>
  <c r="L36"/>
  <c r="Q36" s="1"/>
  <c r="L19"/>
  <c r="Q19" s="1"/>
  <c r="H31" i="24"/>
  <c r="M35" i="30"/>
  <c r="R35"/>
  <c r="M42"/>
  <c r="R42"/>
  <c r="M21"/>
  <c r="R21"/>
  <c r="M56"/>
  <c r="R56"/>
  <c r="M60"/>
  <c r="R60"/>
  <c r="M43"/>
  <c r="R43"/>
  <c r="M47"/>
  <c r="R47"/>
  <c r="M54"/>
  <c r="R54"/>
  <c r="M62"/>
  <c r="R62"/>
  <c r="M19"/>
  <c r="R19"/>
  <c r="M37"/>
  <c r="R37"/>
  <c r="R39"/>
  <c r="M33"/>
  <c r="R33" s="1"/>
  <c r="M17"/>
  <c r="R17" s="1"/>
  <c r="M57"/>
  <c r="M34"/>
  <c r="M45"/>
  <c r="M52"/>
  <c r="M15"/>
  <c r="H65" i="29"/>
  <c r="H21"/>
  <c r="H66"/>
  <c r="R24" i="30"/>
  <c r="R53"/>
  <c r="R16"/>
  <c r="R25"/>
  <c r="R32"/>
  <c r="R59"/>
  <c r="R22"/>
  <c r="R36"/>
  <c r="R29"/>
  <c r="R58"/>
  <c r="M48"/>
  <c r="M26"/>
  <c r="M38"/>
  <c r="M41"/>
  <c r="R41" s="1"/>
  <c r="M28"/>
  <c r="R28" s="1"/>
  <c r="E65" i="29"/>
  <c r="E21"/>
  <c r="E25" i="24"/>
  <c r="E13" i="7" s="1"/>
  <c r="E19" i="24"/>
  <c r="E21" i="12" s="1"/>
  <c r="E18" i="24"/>
  <c r="E10" i="12" s="1"/>
  <c r="E30" i="24"/>
  <c r="E22" i="12" s="1"/>
  <c r="E29" i="24"/>
  <c r="E31"/>
  <c r="D19"/>
  <c r="D21" i="12" s="1"/>
  <c r="D18" i="24"/>
  <c r="D10" i="12" s="1"/>
  <c r="D63" i="29"/>
  <c r="D19"/>
  <c r="D64" s="1"/>
  <c r="I47" i="30"/>
  <c r="N47" s="1"/>
  <c r="I24"/>
  <c r="N24" s="1"/>
  <c r="I45"/>
  <c r="N45" s="1"/>
  <c r="I48"/>
  <c r="N48" s="1"/>
  <c r="I29"/>
  <c r="N29" s="1"/>
  <c r="I58"/>
  <c r="N58" s="1"/>
  <c r="I52"/>
  <c r="N52" s="1"/>
  <c r="I37"/>
  <c r="N37" s="1"/>
  <c r="I57"/>
  <c r="N57" s="1"/>
  <c r="I62"/>
  <c r="N62" s="1"/>
  <c r="I34"/>
  <c r="N34" s="1"/>
  <c r="I14"/>
  <c r="N14" s="1"/>
  <c r="I63"/>
  <c r="N63" s="1"/>
  <c r="I42"/>
  <c r="N42" s="1"/>
  <c r="I61"/>
  <c r="N61" s="1"/>
  <c r="I27"/>
  <c r="N27" s="1"/>
  <c r="I23"/>
  <c r="N23" s="1"/>
  <c r="D21" i="29"/>
  <c r="D66" s="1"/>
  <c r="D65"/>
  <c r="D29" i="24"/>
  <c r="D30"/>
  <c r="D22" i="12" s="1"/>
  <c r="D31" i="24"/>
  <c r="I38" i="30"/>
  <c r="N38" s="1"/>
  <c r="I28"/>
  <c r="N28" s="1"/>
  <c r="I49"/>
  <c r="N49" s="1"/>
  <c r="I59"/>
  <c r="N59" s="1"/>
  <c r="I25"/>
  <c r="N25" s="1"/>
  <c r="I26"/>
  <c r="N26" s="1"/>
  <c r="F11" i="12"/>
  <c r="F32" i="24"/>
  <c r="F63" i="29"/>
  <c r="F19"/>
  <c r="Q33" i="30"/>
  <c r="E11" i="12"/>
  <c r="E32" i="24"/>
  <c r="E66" i="29"/>
  <c r="E69" s="1"/>
  <c r="E24"/>
  <c r="E57" s="1"/>
  <c r="E59" s="1"/>
  <c r="D11" i="12"/>
  <c r="D32" i="24"/>
  <c r="F64" i="29"/>
  <c r="F24"/>
  <c r="F57" s="1"/>
  <c r="F59" s="1"/>
  <c r="G25" i="24"/>
  <c r="G13" i="7"/>
  <c r="E71" i="29" l="1"/>
  <c r="E9" i="12" s="1"/>
  <c r="E12" s="1"/>
  <c r="E113" i="29"/>
  <c r="E75"/>
  <c r="E76" s="1"/>
  <c r="E20" i="12" s="1"/>
  <c r="D69" i="29"/>
  <c r="D8" i="38"/>
  <c r="H55" i="30"/>
  <c r="M55" s="1"/>
  <c r="H46"/>
  <c r="H31"/>
  <c r="H23"/>
  <c r="H27"/>
  <c r="H18"/>
  <c r="H61"/>
  <c r="H20"/>
  <c r="M20" s="1"/>
  <c r="R20" s="1"/>
  <c r="H49"/>
  <c r="M49" s="1"/>
  <c r="E38" i="2"/>
  <c r="E32"/>
  <c r="I7" i="5"/>
  <c r="G25"/>
  <c r="G16"/>
  <c r="G6" i="2"/>
  <c r="F54"/>
  <c r="F19"/>
  <c r="F46"/>
  <c r="F29"/>
  <c r="F11" i="24"/>
  <c r="F13" s="1"/>
  <c r="F15" i="7" s="1"/>
  <c r="F23" i="24"/>
  <c r="F25" s="1"/>
  <c r="F13" i="7" s="1"/>
  <c r="H11" i="24"/>
  <c r="H23"/>
  <c r="H25" s="1"/>
  <c r="H13" i="7" s="1"/>
  <c r="F69" i="29"/>
  <c r="H13" i="24"/>
  <c r="H15" i="7" s="1"/>
  <c r="D34" i="28"/>
  <c r="C41" i="4"/>
  <c r="C50" s="1"/>
  <c r="E41"/>
  <c r="E50" s="1"/>
  <c r="G41"/>
  <c r="G50" s="1"/>
  <c r="L32" i="30"/>
  <c r="Q32" s="1"/>
  <c r="L51"/>
  <c r="Q51" s="1"/>
  <c r="L21"/>
  <c r="Q21" s="1"/>
  <c r="L37"/>
  <c r="Q37" s="1"/>
  <c r="G16"/>
  <c r="L16" s="1"/>
  <c r="G55"/>
  <c r="L55" s="1"/>
  <c r="Q55" s="1"/>
  <c r="G48"/>
  <c r="L48" s="1"/>
  <c r="Q48" s="1"/>
  <c r="G59"/>
  <c r="L59" s="1"/>
  <c r="Q59" s="1"/>
  <c r="G25"/>
  <c r="L25" s="1"/>
  <c r="Q25" s="1"/>
  <c r="G43"/>
  <c r="L43" s="1"/>
  <c r="Q43" s="1"/>
  <c r="G24"/>
  <c r="L24" s="1"/>
  <c r="Q24" s="1"/>
  <c r="G47"/>
  <c r="G46"/>
  <c r="G58"/>
  <c r="L58" s="1"/>
  <c r="Q58" s="1"/>
  <c r="G42"/>
  <c r="L42" s="1"/>
  <c r="G61"/>
  <c r="L61" s="1"/>
  <c r="Q61" s="1"/>
  <c r="G18"/>
  <c r="G27"/>
  <c r="L27" s="1"/>
  <c r="G45"/>
  <c r="L45" s="1"/>
  <c r="G35"/>
  <c r="G56"/>
  <c r="G44"/>
  <c r="L44" s="1"/>
  <c r="G57"/>
  <c r="L57" s="1"/>
  <c r="G49"/>
  <c r="L49" s="1"/>
  <c r="F112" i="29"/>
  <c r="F9" i="7" s="1"/>
  <c r="G106" i="29"/>
  <c r="F34" i="10"/>
  <c r="G9"/>
  <c r="G14" i="8"/>
  <c r="F18"/>
  <c r="E35" i="17" s="1"/>
  <c r="F17" i="8"/>
  <c r="F24"/>
  <c r="D24" i="29"/>
  <c r="D57" s="1"/>
  <c r="D59" s="1"/>
  <c r="D12" i="28"/>
  <c r="D16" s="1"/>
  <c r="D8" i="4" s="1"/>
  <c r="D41"/>
  <c r="D50" s="1"/>
  <c r="F41"/>
  <c r="F50" s="1"/>
  <c r="F20" i="30"/>
  <c r="K20" s="1"/>
  <c r="P20" s="1"/>
  <c r="F46"/>
  <c r="K46" s="1"/>
  <c r="P46" s="1"/>
  <c r="F21"/>
  <c r="K21" s="1"/>
  <c r="P21" s="1"/>
  <c r="F52"/>
  <c r="K52" s="1"/>
  <c r="F61"/>
  <c r="K61" s="1"/>
  <c r="P61" s="1"/>
  <c r="F28"/>
  <c r="K28" s="1"/>
  <c r="P28" s="1"/>
  <c r="F35"/>
  <c r="K35" s="1"/>
  <c r="P35" s="1"/>
  <c r="F58"/>
  <c r="K58" s="1"/>
  <c r="P58" s="1"/>
  <c r="F56"/>
  <c r="K56" s="1"/>
  <c r="P56" s="1"/>
  <c r="F41"/>
  <c r="F55"/>
  <c r="F25"/>
  <c r="F31"/>
  <c r="F48"/>
  <c r="K48" s="1"/>
  <c r="P48" s="1"/>
  <c r="F36"/>
  <c r="F57"/>
  <c r="K57" s="1"/>
  <c r="F53"/>
  <c r="K53" s="1"/>
  <c r="F19"/>
  <c r="K19" s="1"/>
  <c r="F27"/>
  <c r="K27" s="1"/>
  <c r="O28"/>
  <c r="D20" i="28" s="1"/>
  <c r="D24" s="1"/>
  <c r="O35" i="30"/>
  <c r="D21" i="28" s="1"/>
  <c r="F54" i="30"/>
  <c r="K54" s="1"/>
  <c r="F15"/>
  <c r="K15" s="1"/>
  <c r="F38"/>
  <c r="K38" s="1"/>
  <c r="F44"/>
  <c r="E35" i="28"/>
  <c r="E37" s="1"/>
  <c r="E34" i="10"/>
  <c r="E18" i="8"/>
  <c r="D35" i="17" s="1"/>
  <c r="D38" s="1"/>
  <c r="E54" i="2"/>
  <c r="E56" i="11"/>
  <c r="G34" i="28"/>
  <c r="G35" s="1"/>
  <c r="G37" s="1"/>
  <c r="H2" i="7"/>
  <c r="E42" i="10"/>
  <c r="D20" i="8"/>
  <c r="E59" i="11"/>
  <c r="E16" i="8"/>
  <c r="F71" i="29"/>
  <c r="F9" i="12" s="1"/>
  <c r="F12" s="1"/>
  <c r="F113" i="29"/>
  <c r="F75"/>
  <c r="F76" s="1"/>
  <c r="F20" i="12" s="1"/>
  <c r="F24" s="1"/>
  <c r="E31" i="4" s="1"/>
  <c r="E39" s="1"/>
  <c r="E48" s="1"/>
  <c r="D29"/>
  <c r="G30" i="24"/>
  <c r="G22" i="12" s="1"/>
  <c r="G18" i="29"/>
  <c r="C34" i="28"/>
  <c r="C33"/>
  <c r="O127" i="30"/>
  <c r="D33" i="28"/>
  <c r="D23" i="12"/>
  <c r="R48" i="30"/>
  <c r="R26"/>
  <c r="R38"/>
  <c r="R57"/>
  <c r="R34"/>
  <c r="R45"/>
  <c r="R52"/>
  <c r="R15"/>
  <c r="Q49"/>
  <c r="Q57"/>
  <c r="Q44"/>
  <c r="Q45"/>
  <c r="Q27"/>
  <c r="Q42"/>
  <c r="Q14"/>
  <c r="R79"/>
  <c r="R97"/>
  <c r="R114"/>
  <c r="N149"/>
  <c r="N145"/>
  <c r="N140"/>
  <c r="N136"/>
  <c r="N146"/>
  <c r="N133"/>
  <c r="N132"/>
  <c r="N128"/>
  <c r="N148"/>
  <c r="N141"/>
  <c r="N137"/>
  <c r="O152"/>
  <c r="O142"/>
  <c r="O147"/>
  <c r="O130"/>
  <c r="O144"/>
  <c r="O133"/>
  <c r="O136"/>
  <c r="O134"/>
  <c r="O148"/>
  <c r="O139"/>
  <c r="O135"/>
  <c r="O132"/>
  <c r="H18" i="29"/>
  <c r="H18" i="24"/>
  <c r="H10" i="12" s="1"/>
  <c r="H19" i="24"/>
  <c r="H21" i="12" s="1"/>
  <c r="H30" i="24"/>
  <c r="H22" i="12" s="1"/>
  <c r="H29" i="24"/>
  <c r="M14" i="30"/>
  <c r="R14"/>
  <c r="D19"/>
  <c r="D31"/>
  <c r="D36"/>
  <c r="D16"/>
  <c r="D51"/>
  <c r="D44"/>
  <c r="D21"/>
  <c r="D39"/>
  <c r="D41"/>
  <c r="D22"/>
  <c r="D55"/>
  <c r="D53"/>
  <c r="D15"/>
  <c r="D43"/>
  <c r="D56"/>
  <c r="D54"/>
  <c r="D33"/>
  <c r="D20"/>
  <c r="D17"/>
  <c r="D18"/>
  <c r="D32"/>
  <c r="D60"/>
  <c r="D46"/>
  <c r="D35"/>
  <c r="D71" i="29"/>
  <c r="D9" i="12" s="1"/>
  <c r="D12" s="1"/>
  <c r="R63" i="30"/>
  <c r="R49"/>
  <c r="R55"/>
  <c r="Q60"/>
  <c r="Q31"/>
  <c r="Q53"/>
  <c r="P24"/>
  <c r="P59"/>
  <c r="P16"/>
  <c r="P34"/>
  <c r="P39"/>
  <c r="P49"/>
  <c r="P45"/>
  <c r="P29"/>
  <c r="P63"/>
  <c r="P57"/>
  <c r="P53"/>
  <c r="P19"/>
  <c r="P27"/>
  <c r="G29" i="24"/>
  <c r="Q52" i="30"/>
  <c r="Q34"/>
  <c r="Q22"/>
  <c r="Q63"/>
  <c r="Q28"/>
  <c r="Q62"/>
  <c r="P54"/>
  <c r="P15"/>
  <c r="P38"/>
  <c r="Q16"/>
  <c r="E117"/>
  <c r="E109"/>
  <c r="E100"/>
  <c r="E91"/>
  <c r="E82"/>
  <c r="E74"/>
  <c r="E105"/>
  <c r="E101"/>
  <c r="E97"/>
  <c r="E92"/>
  <c r="E88"/>
  <c r="E114"/>
  <c r="E75"/>
  <c r="E115"/>
  <c r="E107"/>
  <c r="E98"/>
  <c r="E89"/>
  <c r="E80"/>
  <c r="E72"/>
  <c r="E83"/>
  <c r="E79"/>
  <c r="E71"/>
  <c r="E112"/>
  <c r="E119"/>
  <c r="R140"/>
  <c r="P138"/>
  <c r="Q129"/>
  <c r="I2" i="11"/>
  <c r="H2" i="9"/>
  <c r="I3" i="39"/>
  <c r="H36" i="10"/>
  <c r="G51" i="11"/>
  <c r="I3"/>
  <c r="H3" i="17"/>
  <c r="H3" i="9"/>
  <c r="I3" i="8"/>
  <c r="J3" i="5"/>
  <c r="H3" i="28"/>
  <c r="G3" i="4"/>
  <c r="I3" i="26"/>
  <c r="B15" i="19"/>
  <c r="B26" i="7"/>
  <c r="B53" i="4"/>
  <c r="B67" i="2"/>
  <c r="B41" i="9"/>
  <c r="B42" i="12"/>
  <c r="B31" i="8"/>
  <c r="H2" i="17"/>
  <c r="J2" i="5"/>
  <c r="I2" i="39"/>
  <c r="I2" i="8"/>
  <c r="I2" i="10"/>
  <c r="I2" i="19"/>
  <c r="B12" i="39"/>
  <c r="B75" i="11"/>
  <c r="B48" i="10"/>
  <c r="B35" i="5"/>
  <c r="I2" i="12"/>
  <c r="H2" i="28"/>
  <c r="I2" i="24"/>
  <c r="H2" i="29"/>
  <c r="I2" i="30"/>
  <c r="H3" i="7"/>
  <c r="I3" i="10"/>
  <c r="I3" i="19"/>
  <c r="I3" i="24"/>
  <c r="G2" i="4"/>
  <c r="I2" i="26"/>
  <c r="I3" i="12"/>
  <c r="G3" i="38"/>
  <c r="H3" i="29"/>
  <c r="J2" i="2"/>
  <c r="J3"/>
  <c r="D9" i="4" l="1"/>
  <c r="D26" i="28"/>
  <c r="K44" i="30"/>
  <c r="P44" s="1"/>
  <c r="K36"/>
  <c r="P36" s="1"/>
  <c r="K31"/>
  <c r="E13" i="28" s="1"/>
  <c r="K55" i="30"/>
  <c r="P55" s="1"/>
  <c r="E23" i="28" s="1"/>
  <c r="G18" i="8"/>
  <c r="F35" i="17" s="1"/>
  <c r="G24" i="8"/>
  <c r="H14"/>
  <c r="G17"/>
  <c r="Q56" i="30"/>
  <c r="L56"/>
  <c r="L18"/>
  <c r="Q18" s="1"/>
  <c r="Q46"/>
  <c r="L46"/>
  <c r="F73" i="2"/>
  <c r="F72"/>
  <c r="H6"/>
  <c r="G46"/>
  <c r="G19"/>
  <c r="G29"/>
  <c r="G54"/>
  <c r="E40"/>
  <c r="E42" s="1"/>
  <c r="E33"/>
  <c r="D22" i="7"/>
  <c r="D17" i="17"/>
  <c r="M18" i="30"/>
  <c r="R18" s="1"/>
  <c r="M23"/>
  <c r="R23" s="1"/>
  <c r="M46"/>
  <c r="G14" i="28" s="1"/>
  <c r="R46" i="30"/>
  <c r="F15" i="28"/>
  <c r="F12"/>
  <c r="K25" i="30"/>
  <c r="P25" s="1"/>
  <c r="K41"/>
  <c r="E14" i="28" s="1"/>
  <c r="P52" i="30"/>
  <c r="E15" i="28"/>
  <c r="H9" i="10"/>
  <c r="G34"/>
  <c r="H106" i="29"/>
  <c r="H112" s="1"/>
  <c r="H9" i="7" s="1"/>
  <c r="G112" i="29"/>
  <c r="G9" i="7" s="1"/>
  <c r="Q35" i="30"/>
  <c r="L35"/>
  <c r="F13" i="28" s="1"/>
  <c r="Q47" i="30"/>
  <c r="F22" i="28" s="1"/>
  <c r="L47" i="30"/>
  <c r="F14" i="28" s="1"/>
  <c r="H16" i="5"/>
  <c r="H25"/>
  <c r="J7"/>
  <c r="M61" i="30"/>
  <c r="R61" s="1"/>
  <c r="G23" i="28" s="1"/>
  <c r="M27" i="30"/>
  <c r="R27" s="1"/>
  <c r="M31"/>
  <c r="G13" i="28" s="1"/>
  <c r="D113" i="29"/>
  <c r="D75"/>
  <c r="D76" s="1"/>
  <c r="D20" i="12" s="1"/>
  <c r="H23"/>
  <c r="D24"/>
  <c r="C31" i="4" s="1"/>
  <c r="C39" s="1"/>
  <c r="C48" s="1"/>
  <c r="E15" i="12"/>
  <c r="E17" s="1"/>
  <c r="D30" i="4" s="1"/>
  <c r="G15" i="28"/>
  <c r="E19" i="8"/>
  <c r="D14" i="38"/>
  <c r="D26" i="9" s="1"/>
  <c r="E44" i="10"/>
  <c r="J112" i="30"/>
  <c r="O112" s="1"/>
  <c r="J72"/>
  <c r="O72" s="1"/>
  <c r="J107"/>
  <c r="O107" s="1"/>
  <c r="J88"/>
  <c r="O88" s="1"/>
  <c r="J105"/>
  <c r="O105" s="1"/>
  <c r="J82"/>
  <c r="O82" s="1"/>
  <c r="J117"/>
  <c r="O117" s="1"/>
  <c r="C29" i="4"/>
  <c r="N60" i="30"/>
  <c r="I60"/>
  <c r="N18"/>
  <c r="I18"/>
  <c r="I20"/>
  <c r="N20" s="1"/>
  <c r="I54"/>
  <c r="N54" s="1"/>
  <c r="I43"/>
  <c r="N43" s="1"/>
  <c r="I53"/>
  <c r="N53" s="1"/>
  <c r="I39"/>
  <c r="N39" s="1"/>
  <c r="I44"/>
  <c r="N44" s="1"/>
  <c r="I16"/>
  <c r="N16" s="1"/>
  <c r="I31"/>
  <c r="H32" i="24"/>
  <c r="H11" i="12"/>
  <c r="H19" i="29"/>
  <c r="H64" s="1"/>
  <c r="H63"/>
  <c r="H24"/>
  <c r="H57" s="1"/>
  <c r="H59" s="1"/>
  <c r="J119" i="30"/>
  <c r="O119" s="1"/>
  <c r="J71"/>
  <c r="O71" s="1"/>
  <c r="J83"/>
  <c r="O83" s="1"/>
  <c r="J80"/>
  <c r="O80" s="1"/>
  <c r="J98"/>
  <c r="O98" s="1"/>
  <c r="J115"/>
  <c r="O115" s="1"/>
  <c r="J114"/>
  <c r="O114" s="1"/>
  <c r="J92"/>
  <c r="O92" s="1"/>
  <c r="J101"/>
  <c r="O101" s="1"/>
  <c r="J74"/>
  <c r="O74" s="1"/>
  <c r="J91"/>
  <c r="O91" s="1"/>
  <c r="J109"/>
  <c r="O109" s="1"/>
  <c r="I46"/>
  <c r="N46" s="1"/>
  <c r="I32"/>
  <c r="N32" s="1"/>
  <c r="I17"/>
  <c r="N17" s="1"/>
  <c r="I33"/>
  <c r="N33" s="1"/>
  <c r="I56"/>
  <c r="N56" s="1"/>
  <c r="I15"/>
  <c r="I55"/>
  <c r="N55" s="1"/>
  <c r="I41"/>
  <c r="I21"/>
  <c r="N21" s="1"/>
  <c r="I51"/>
  <c r="I36"/>
  <c r="N36" s="1"/>
  <c r="I19"/>
  <c r="N19" s="1"/>
  <c r="E29" i="4"/>
  <c r="G22" i="28"/>
  <c r="F23"/>
  <c r="F21"/>
  <c r="J79" i="30"/>
  <c r="O79" s="1"/>
  <c r="J89"/>
  <c r="O89" s="1"/>
  <c r="J75"/>
  <c r="O75" s="1"/>
  <c r="J97"/>
  <c r="O97" s="1"/>
  <c r="J100"/>
  <c r="O100" s="1"/>
  <c r="G11" i="12"/>
  <c r="G32" i="24"/>
  <c r="N35" i="30"/>
  <c r="I35"/>
  <c r="I22"/>
  <c r="N22" s="1"/>
  <c r="G19" i="29"/>
  <c r="G64" s="1"/>
  <c r="G63"/>
  <c r="G69" s="1"/>
  <c r="D38" i="4"/>
  <c r="D46" s="1"/>
  <c r="D13"/>
  <c r="D26" s="1"/>
  <c r="D37"/>
  <c r="I51" i="11"/>
  <c r="I36" i="10"/>
  <c r="E20" i="28" l="1"/>
  <c r="G20"/>
  <c r="F20"/>
  <c r="F24" s="1"/>
  <c r="G15" i="12"/>
  <c r="G17" s="1"/>
  <c r="F30" i="4" s="1"/>
  <c r="I25" i="5"/>
  <c r="I16"/>
  <c r="I9" i="10"/>
  <c r="I34" s="1"/>
  <c r="H34"/>
  <c r="G72" i="2"/>
  <c r="G74"/>
  <c r="G73"/>
  <c r="H54"/>
  <c r="I6"/>
  <c r="H29"/>
  <c r="H19"/>
  <c r="H46"/>
  <c r="H24" i="8"/>
  <c r="I14"/>
  <c r="H17"/>
  <c r="H18"/>
  <c r="E12" i="28"/>
  <c r="E16" s="1"/>
  <c r="G12"/>
  <c r="G16" s="1"/>
  <c r="G8" i="4" s="1"/>
  <c r="D19" i="7"/>
  <c r="E11" i="10"/>
  <c r="E63" i="11" s="1"/>
  <c r="C15" i="28"/>
  <c r="C14"/>
  <c r="H69" i="29"/>
  <c r="R31" i="30"/>
  <c r="G21" i="28" s="1"/>
  <c r="F16"/>
  <c r="F8" i="4" s="1"/>
  <c r="P41" i="30"/>
  <c r="E22" i="28" s="1"/>
  <c r="F31" i="2"/>
  <c r="P31" i="30"/>
  <c r="E21" i="28" s="1"/>
  <c r="E12" i="11"/>
  <c r="F16" i="8"/>
  <c r="F59" i="11"/>
  <c r="F42" i="10"/>
  <c r="E20" i="8"/>
  <c r="E26" i="9" s="1"/>
  <c r="E23" i="12"/>
  <c r="E24" s="1"/>
  <c r="D45" i="4"/>
  <c r="D47"/>
  <c r="E9" i="9"/>
  <c r="F10" i="39"/>
  <c r="F8"/>
  <c r="C12" i="28"/>
  <c r="G24" i="29"/>
  <c r="G57" s="1"/>
  <c r="G59" s="1"/>
  <c r="N51" i="30"/>
  <c r="C23" i="28" s="1"/>
  <c r="N41" i="30"/>
  <c r="C22" i="28" s="1"/>
  <c r="N15" i="30"/>
  <c r="G24" i="28"/>
  <c r="C13"/>
  <c r="G71" i="29"/>
  <c r="G9" i="12" s="1"/>
  <c r="G12" s="1"/>
  <c r="G113" i="29"/>
  <c r="G75"/>
  <c r="G76" s="1"/>
  <c r="G20" i="12" s="1"/>
  <c r="G24" s="1"/>
  <c r="F31" i="4" s="1"/>
  <c r="F39" s="1"/>
  <c r="F48" s="1"/>
  <c r="E8"/>
  <c r="F9"/>
  <c r="F26" i="28"/>
  <c r="H75" i="29"/>
  <c r="H76" s="1"/>
  <c r="H20" i="12" s="1"/>
  <c r="H24" s="1"/>
  <c r="G31" i="4" s="1"/>
  <c r="G39" s="1"/>
  <c r="G48" s="1"/>
  <c r="H113" i="29"/>
  <c r="H71"/>
  <c r="H9" i="12" s="1"/>
  <c r="H12" s="1"/>
  <c r="N31" i="30"/>
  <c r="C21" i="28" s="1"/>
  <c r="E24"/>
  <c r="E9" i="4" s="1"/>
  <c r="H73" i="2" l="1"/>
  <c r="H72"/>
  <c r="H75"/>
  <c r="H74"/>
  <c r="J6"/>
  <c r="I29"/>
  <c r="I19"/>
  <c r="I46"/>
  <c r="I54"/>
  <c r="G31"/>
  <c r="G38" s="1"/>
  <c r="H15" i="12"/>
  <c r="H17" s="1"/>
  <c r="G30" i="4" s="1"/>
  <c r="F15" i="12"/>
  <c r="F17" s="1"/>
  <c r="F38" i="2"/>
  <c r="F32"/>
  <c r="G32"/>
  <c r="I18" i="8"/>
  <c r="H35" i="17" s="1"/>
  <c r="G35"/>
  <c r="I24" i="8"/>
  <c r="I17"/>
  <c r="F12" i="11"/>
  <c r="F44" i="10"/>
  <c r="F19" i="8"/>
  <c r="G29" i="4"/>
  <c r="H5" i="12"/>
  <c r="H10" i="9" s="1"/>
  <c r="F32" i="5"/>
  <c r="E20" i="7" s="1"/>
  <c r="F7" i="11"/>
  <c r="F9" s="1"/>
  <c r="F18" i="5"/>
  <c r="F22" s="1"/>
  <c r="F17" i="10" s="1"/>
  <c r="F27" i="5"/>
  <c r="F30" s="1"/>
  <c r="F23" i="10" s="1"/>
  <c r="D31" i="4"/>
  <c r="E5" i="12"/>
  <c r="E10" i="9" s="1"/>
  <c r="F38" i="4"/>
  <c r="F46" s="1"/>
  <c r="F13"/>
  <c r="F26" s="1"/>
  <c r="G9"/>
  <c r="G26" i="28"/>
  <c r="E37" i="4"/>
  <c r="E13"/>
  <c r="E26" s="1"/>
  <c r="F29"/>
  <c r="G5" i="12"/>
  <c r="G10" i="9" s="1"/>
  <c r="D15" i="12"/>
  <c r="D17" s="1"/>
  <c r="C20" i="28"/>
  <c r="C24" s="1"/>
  <c r="C9" i="4" s="1"/>
  <c r="E26" i="28"/>
  <c r="C16"/>
  <c r="G33" i="2" l="1"/>
  <c r="G40"/>
  <c r="G42" s="1"/>
  <c r="F40"/>
  <c r="F42" s="1"/>
  <c r="F33"/>
  <c r="E22" i="7"/>
  <c r="E17" i="17"/>
  <c r="E30" i="4"/>
  <c r="F5" i="12"/>
  <c r="F10" i="9" s="1"/>
  <c r="F17" i="17"/>
  <c r="F22" i="7"/>
  <c r="I73" i="2"/>
  <c r="I75"/>
  <c r="I72"/>
  <c r="I74"/>
  <c r="I76"/>
  <c r="J19"/>
  <c r="J46"/>
  <c r="J54"/>
  <c r="J63" s="1"/>
  <c r="J29"/>
  <c r="H31"/>
  <c r="G16" i="8"/>
  <c r="G42" i="10"/>
  <c r="G59" i="11"/>
  <c r="F20" i="8"/>
  <c r="F26" i="9" s="1"/>
  <c r="C30" i="4"/>
  <c r="C34" s="1"/>
  <c r="D5" i="12"/>
  <c r="D10" i="9" s="1"/>
  <c r="F34" i="4"/>
  <c r="F37"/>
  <c r="E45"/>
  <c r="G38"/>
  <c r="G46" s="1"/>
  <c r="G13"/>
  <c r="G26" s="1"/>
  <c r="G10" i="5"/>
  <c r="G9"/>
  <c r="G13" s="1"/>
  <c r="F10" i="11"/>
  <c r="E12" i="9"/>
  <c r="G34" i="4"/>
  <c r="G37"/>
  <c r="C8"/>
  <c r="C26" i="28"/>
  <c r="H10" i="11"/>
  <c r="I9" i="5"/>
  <c r="I10"/>
  <c r="G10" i="39"/>
  <c r="G8"/>
  <c r="F9" i="9"/>
  <c r="H8" i="39"/>
  <c r="H10"/>
  <c r="G9" i="9"/>
  <c r="G12" s="1"/>
  <c r="D39" i="4"/>
  <c r="D34"/>
  <c r="I10" i="11"/>
  <c r="J10" i="5"/>
  <c r="J9"/>
  <c r="E11" i="9"/>
  <c r="H38" i="2" l="1"/>
  <c r="H32"/>
  <c r="J76"/>
  <c r="J72"/>
  <c r="J77"/>
  <c r="J73"/>
  <c r="J74"/>
  <c r="J75"/>
  <c r="G10" i="11"/>
  <c r="H10" i="5"/>
  <c r="H9"/>
  <c r="G11" i="10"/>
  <c r="G63" i="11" s="1"/>
  <c r="F19" i="7"/>
  <c r="E34" i="4"/>
  <c r="E38"/>
  <c r="F11" i="10"/>
  <c r="F63" i="11" s="1"/>
  <c r="E19" i="7"/>
  <c r="E23" s="1"/>
  <c r="E18" i="9" s="1"/>
  <c r="F11" i="11" s="1"/>
  <c r="C38" i="4"/>
  <c r="C46" s="1"/>
  <c r="I13" i="5"/>
  <c r="I31" i="2"/>
  <c r="I38" s="1"/>
  <c r="G20" i="8"/>
  <c r="G26" i="9" s="1"/>
  <c r="G19" i="8"/>
  <c r="G12" i="11"/>
  <c r="G44" i="10"/>
  <c r="D48" i="4"/>
  <c r="D42"/>
  <c r="D51" s="1"/>
  <c r="F12" i="19" s="1"/>
  <c r="F11" i="9"/>
  <c r="G27" i="5"/>
  <c r="G30" s="1"/>
  <c r="G23" i="10" s="1"/>
  <c r="G32" i="5"/>
  <c r="F20" i="7" s="1"/>
  <c r="F23" s="1"/>
  <c r="F18" i="9" s="1"/>
  <c r="G7" i="11"/>
  <c r="G9" s="1"/>
  <c r="G18" i="5"/>
  <c r="G22" s="1"/>
  <c r="G17" i="10" s="1"/>
  <c r="F12" i="9"/>
  <c r="H16" i="10"/>
  <c r="C37" i="4"/>
  <c r="C13"/>
  <c r="C26" s="1"/>
  <c r="I8" i="39"/>
  <c r="I10"/>
  <c r="H9" i="9"/>
  <c r="F13" i="11"/>
  <c r="F14" s="1"/>
  <c r="F29" s="1"/>
  <c r="F33" s="1"/>
  <c r="H18" i="5"/>
  <c r="H22" s="1"/>
  <c r="H17" i="10" s="1"/>
  <c r="H7" i="11"/>
  <c r="H9" s="1"/>
  <c r="G11" i="9"/>
  <c r="H32" i="5"/>
  <c r="G20" i="7" s="1"/>
  <c r="H27" i="5"/>
  <c r="H30" s="1"/>
  <c r="H23" i="10" s="1"/>
  <c r="G47" i="4"/>
  <c r="G45"/>
  <c r="G42"/>
  <c r="G51" s="1"/>
  <c r="I12" i="19" s="1"/>
  <c r="F16" i="10"/>
  <c r="F42" i="4"/>
  <c r="F51" s="1"/>
  <c r="H12" i="19" s="1"/>
  <c r="F47" i="4"/>
  <c r="F45"/>
  <c r="F9" i="5"/>
  <c r="F10"/>
  <c r="E10" i="11"/>
  <c r="J13" i="5"/>
  <c r="E46" i="4" l="1"/>
  <c r="E47"/>
  <c r="E42"/>
  <c r="E51" s="1"/>
  <c r="G12" i="19" s="1"/>
  <c r="H40" i="2"/>
  <c r="H42" s="1"/>
  <c r="H33"/>
  <c r="G22" i="7"/>
  <c r="G17" i="17"/>
  <c r="H13" i="5"/>
  <c r="G16" i="10" s="1"/>
  <c r="H17" i="17"/>
  <c r="H22" i="7"/>
  <c r="G13" i="17"/>
  <c r="F13" i="5"/>
  <c r="E16" i="10" s="1"/>
  <c r="D13" i="17" s="1"/>
  <c r="J31" i="2"/>
  <c r="J38" s="1"/>
  <c r="I32"/>
  <c r="H12" i="11"/>
  <c r="H59"/>
  <c r="H42" i="10"/>
  <c r="H16" i="8"/>
  <c r="I16" i="10"/>
  <c r="H13" i="17" s="1"/>
  <c r="E13"/>
  <c r="F13"/>
  <c r="G14"/>
  <c r="F58" i="11"/>
  <c r="F36"/>
  <c r="F37"/>
  <c r="E8" i="39"/>
  <c r="D9" i="9"/>
  <c r="E10" i="39"/>
  <c r="G11" i="11"/>
  <c r="G13" s="1"/>
  <c r="G15" i="17"/>
  <c r="I27" i="5"/>
  <c r="I30" s="1"/>
  <c r="I23" i="10" s="1"/>
  <c r="H11" i="9"/>
  <c r="I18" i="5"/>
  <c r="I22" s="1"/>
  <c r="I17" i="10" s="1"/>
  <c r="I32" i="5"/>
  <c r="H20" i="7" s="1"/>
  <c r="I7" i="11"/>
  <c r="I9" s="1"/>
  <c r="H12" i="9"/>
  <c r="C42" i="4"/>
  <c r="C51" s="1"/>
  <c r="E12" i="19" s="1"/>
  <c r="C45" i="4"/>
  <c r="C47"/>
  <c r="F14" i="17"/>
  <c r="F15"/>
  <c r="G14" i="11"/>
  <c r="G29" s="1"/>
  <c r="G33" s="1"/>
  <c r="J32" i="2" l="1"/>
  <c r="I40"/>
  <c r="I42" s="1"/>
  <c r="I33"/>
  <c r="G19" i="7"/>
  <c r="G23" s="1"/>
  <c r="G18" i="9" s="1"/>
  <c r="H11" i="11" s="1"/>
  <c r="H13" s="1"/>
  <c r="H14" s="1"/>
  <c r="H29" s="1"/>
  <c r="H33" s="1"/>
  <c r="H11" i="10"/>
  <c r="H63" i="11" s="1"/>
  <c r="H44" i="10"/>
  <c r="H20" i="8"/>
  <c r="H26" i="9" s="1"/>
  <c r="H19" i="8"/>
  <c r="H14" i="17"/>
  <c r="H15"/>
  <c r="F41" i="11"/>
  <c r="F40"/>
  <c r="F38"/>
  <c r="F42"/>
  <c r="F43"/>
  <c r="G37"/>
  <c r="G58"/>
  <c r="G36"/>
  <c r="H36"/>
  <c r="H58"/>
  <c r="H37"/>
  <c r="E7"/>
  <c r="E9" s="1"/>
  <c r="D11" i="9"/>
  <c r="E32" i="5"/>
  <c r="E18"/>
  <c r="E22" s="1"/>
  <c r="E17" i="10" s="1"/>
  <c r="E27" i="5"/>
  <c r="E30" s="1"/>
  <c r="E23" i="10" s="1"/>
  <c r="D12" i="9"/>
  <c r="I11" i="10" l="1"/>
  <c r="I63" i="11" s="1"/>
  <c r="H19" i="7"/>
  <c r="H23" s="1"/>
  <c r="H18" i="9" s="1"/>
  <c r="I11" i="11" s="1"/>
  <c r="I13" s="1"/>
  <c r="I14" s="1"/>
  <c r="I29" s="1"/>
  <c r="I33" s="1"/>
  <c r="I58" s="1"/>
  <c r="J40" i="2"/>
  <c r="J42" s="1"/>
  <c r="J33"/>
  <c r="I12" i="11"/>
  <c r="I16" i="8"/>
  <c r="I42" i="10"/>
  <c r="I59" i="11"/>
  <c r="I37"/>
  <c r="D14" i="17"/>
  <c r="E14"/>
  <c r="D15"/>
  <c r="E15"/>
  <c r="D20" i="7"/>
  <c r="E34" i="5"/>
  <c r="G38" i="11"/>
  <c r="G42"/>
  <c r="G41"/>
  <c r="G43"/>
  <c r="G40"/>
  <c r="F44"/>
  <c r="H40"/>
  <c r="H41"/>
  <c r="H42"/>
  <c r="H43"/>
  <c r="H38"/>
  <c r="I36" l="1"/>
  <c r="I44" i="10"/>
  <c r="I20" i="8"/>
  <c r="I19"/>
  <c r="F31" i="5"/>
  <c r="F34" s="1"/>
  <c r="E24" i="10"/>
  <c r="I40" i="11"/>
  <c r="I43"/>
  <c r="I42"/>
  <c r="I38"/>
  <c r="I41"/>
  <c r="H44"/>
  <c r="D23" i="7"/>
  <c r="D18" i="9" s="1"/>
  <c r="D13" i="38"/>
  <c r="D16" s="1"/>
  <c r="G44" i="11"/>
  <c r="E57" i="2" l="1"/>
  <c r="D17" i="38" s="1"/>
  <c r="D31" i="17"/>
  <c r="D32" s="1"/>
  <c r="G31" i="5"/>
  <c r="G34" s="1"/>
  <c r="F24" i="10"/>
  <c r="I44" i="11"/>
  <c r="E11"/>
  <c r="E13" s="1"/>
  <c r="E14" s="1"/>
  <c r="E29" s="1"/>
  <c r="E33" s="1"/>
  <c r="D20" i="17"/>
  <c r="E20" l="1"/>
  <c r="F63" i="2"/>
  <c r="I63"/>
  <c r="E58"/>
  <c r="E63"/>
  <c r="H63"/>
  <c r="G63"/>
  <c r="E58" i="11"/>
  <c r="E37"/>
  <c r="E36"/>
  <c r="H31" i="5"/>
  <c r="H34" s="1"/>
  <c r="G24" i="10"/>
  <c r="I31" i="5" l="1"/>
  <c r="I34" s="1"/>
  <c r="I24" i="10" s="1"/>
  <c r="H24"/>
  <c r="F19" i="9"/>
  <c r="E64" i="2"/>
  <c r="F61" s="1"/>
  <c r="F64" s="1"/>
  <c r="G61" s="1"/>
  <c r="G64" s="1"/>
  <c r="H61" s="1"/>
  <c r="H64" s="1"/>
  <c r="I61" s="1"/>
  <c r="I64" s="1"/>
  <c r="J61" s="1"/>
  <c r="J64" s="1"/>
  <c r="D19" i="9"/>
  <c r="H19"/>
  <c r="F20" i="17"/>
  <c r="E38" i="11"/>
  <c r="E42"/>
  <c r="E41"/>
  <c r="E40"/>
  <c r="E43"/>
  <c r="E61"/>
  <c r="G19" i="9"/>
  <c r="F56" i="2"/>
  <c r="F58" s="1"/>
  <c r="E65"/>
  <c r="E13" i="10" s="1"/>
  <c r="E19" i="9"/>
  <c r="F65" i="2" l="1"/>
  <c r="F13" i="10" s="1"/>
  <c r="G56" i="2"/>
  <c r="G58" s="1"/>
  <c r="E18" i="17"/>
  <c r="E20" i="9"/>
  <c r="E24" s="1"/>
  <c r="E28" s="1"/>
  <c r="E14" i="10"/>
  <c r="E65" i="11"/>
  <c r="G18" i="17"/>
  <c r="G20" i="9"/>
  <c r="G24" s="1"/>
  <c r="G28" s="1"/>
  <c r="H18" i="17"/>
  <c r="H20" i="9"/>
  <c r="H24" s="1"/>
  <c r="H28" s="1"/>
  <c r="D18" i="17"/>
  <c r="D20" i="9"/>
  <c r="D24" s="1"/>
  <c r="D28" s="1"/>
  <c r="H20" i="17"/>
  <c r="E66" i="11"/>
  <c r="E67" s="1"/>
  <c r="E68" s="1"/>
  <c r="E70" s="1"/>
  <c r="E72" s="1"/>
  <c r="E44"/>
  <c r="F18" i="17"/>
  <c r="F20" i="9"/>
  <c r="F24" s="1"/>
  <c r="F28" s="1"/>
  <c r="G20" i="17"/>
  <c r="F14" i="10" l="1"/>
  <c r="F65" i="11"/>
  <c r="D30" i="9"/>
  <c r="D31" s="1"/>
  <c r="D35" s="1"/>
  <c r="E73" i="11"/>
  <c r="E74" s="1"/>
  <c r="G65" i="2"/>
  <c r="G13" i="10" s="1"/>
  <c r="H56" i="2"/>
  <c r="H58" s="1"/>
  <c r="I56" l="1"/>
  <c r="I58" s="1"/>
  <c r="H65"/>
  <c r="H13" i="10" s="1"/>
  <c r="D40" i="9"/>
  <c r="C52" i="4" s="1"/>
  <c r="E13" i="19" s="1"/>
  <c r="D36" i="9"/>
  <c r="G65" i="11"/>
  <c r="G14" i="10"/>
  <c r="E27"/>
  <c r="D19" i="17" l="1"/>
  <c r="E37" i="10"/>
  <c r="H65" i="11"/>
  <c r="H14" i="10"/>
  <c r="D22" i="17"/>
  <c r="I65" i="2"/>
  <c r="I13" i="10" s="1"/>
  <c r="J56" i="2"/>
  <c r="J58" s="1"/>
  <c r="J65" s="1"/>
  <c r="D37" i="9"/>
  <c r="E28" i="10" l="1"/>
  <c r="D23" i="17"/>
  <c r="D24" s="1"/>
  <c r="E37"/>
  <c r="E38" s="1"/>
  <c r="D38" i="9"/>
  <c r="D11" i="17" s="1"/>
  <c r="F52" i="11"/>
  <c r="E38" i="10"/>
  <c r="I14"/>
  <c r="I65" i="11"/>
  <c r="E40" i="10" l="1"/>
  <c r="E46" s="1"/>
  <c r="F53" i="11"/>
  <c r="F56" s="1"/>
  <c r="F61" s="1"/>
  <c r="F66" s="1"/>
  <c r="F67" s="1"/>
  <c r="F68" s="1"/>
  <c r="F70" s="1"/>
  <c r="F72" s="1"/>
  <c r="E20" i="10"/>
  <c r="E25"/>
  <c r="D26" i="17"/>
  <c r="E29" i="10" l="1"/>
  <c r="F73" i="11"/>
  <c r="F74" s="1"/>
  <c r="E30" i="9"/>
  <c r="D39" i="17"/>
  <c r="E21" i="10"/>
  <c r="E9" i="19" l="1"/>
  <c r="E30" i="10"/>
  <c r="E32" s="1"/>
  <c r="E10" i="19"/>
  <c r="D41" i="17"/>
  <c r="F27" i="10"/>
  <c r="E31" i="9"/>
  <c r="E35" s="1"/>
  <c r="E40" l="1"/>
  <c r="D52" i="4" s="1"/>
  <c r="F13" i="19" s="1"/>
  <c r="E36" i="9"/>
  <c r="E37" s="1"/>
  <c r="F38" i="10" s="1"/>
  <c r="E22" i="17"/>
  <c r="E9"/>
  <c r="E47" i="10"/>
  <c r="E53"/>
  <c r="G53" i="11" l="1"/>
  <c r="F28" i="10"/>
  <c r="E23" i="17"/>
  <c r="F37"/>
  <c r="F38" s="1"/>
  <c r="E19"/>
  <c r="F37" i="10"/>
  <c r="E38" i="9"/>
  <c r="E11" i="17" s="1"/>
  <c r="E24" l="1"/>
  <c r="F25" i="10"/>
  <c r="F20"/>
  <c r="G52" i="11"/>
  <c r="G56" s="1"/>
  <c r="G61" s="1"/>
  <c r="G66" s="1"/>
  <c r="G67" s="1"/>
  <c r="G68" s="1"/>
  <c r="G70" s="1"/>
  <c r="G72" s="1"/>
  <c r="F40" i="10"/>
  <c r="F46" s="1"/>
  <c r="E26" i="17"/>
  <c r="F30" i="9" l="1"/>
  <c r="G73" i="11"/>
  <c r="G74" s="1"/>
  <c r="F21" i="10"/>
  <c r="E39" i="17"/>
  <c r="F29" i="10"/>
  <c r="E41" i="17" l="1"/>
  <c r="G27" i="10"/>
  <c r="F31" i="9"/>
  <c r="F35" s="1"/>
  <c r="F10" i="19"/>
  <c r="F9"/>
  <c r="F30" i="10"/>
  <c r="F32" s="1"/>
  <c r="F22" i="17" l="1"/>
  <c r="F47" i="10"/>
  <c r="F53"/>
  <c r="F36" i="9"/>
  <c r="F40"/>
  <c r="E52" i="4" s="1"/>
  <c r="G13" i="19" s="1"/>
  <c r="F9" i="17"/>
  <c r="F37" i="9" l="1"/>
  <c r="F19" i="17"/>
  <c r="G37" i="10"/>
  <c r="H52" i="11" l="1"/>
  <c r="G38" i="10"/>
  <c r="F23" i="17"/>
  <c r="F24" s="1"/>
  <c r="G28" i="10"/>
  <c r="G37" i="17"/>
  <c r="G38" s="1"/>
  <c r="F38" i="9"/>
  <c r="F11" i="17" s="1"/>
  <c r="F26" l="1"/>
  <c r="G20" i="10"/>
  <c r="G25"/>
  <c r="H53" i="11"/>
  <c r="H56" s="1"/>
  <c r="H61" s="1"/>
  <c r="H66" s="1"/>
  <c r="H67" s="1"/>
  <c r="H68" s="1"/>
  <c r="H70" s="1"/>
  <c r="H72" s="1"/>
  <c r="G40" i="10"/>
  <c r="G46" s="1"/>
  <c r="H73" i="11" l="1"/>
  <c r="H74" s="1"/>
  <c r="G30" i="9"/>
  <c r="G29" i="10"/>
  <c r="F39" i="17"/>
  <c r="G21" i="10"/>
  <c r="F41" i="17" l="1"/>
  <c r="G31" i="9"/>
  <c r="G35" s="1"/>
  <c r="H27" i="10"/>
  <c r="G10" i="19"/>
  <c r="G30" i="10"/>
  <c r="G32" s="1"/>
  <c r="G9" i="19"/>
  <c r="G47" i="10" l="1"/>
  <c r="G53"/>
  <c r="G9" i="17"/>
  <c r="G22"/>
  <c r="G40" i="9"/>
  <c r="F52" i="4" s="1"/>
  <c r="H13" i="19" s="1"/>
  <c r="G37" i="9"/>
  <c r="G36"/>
  <c r="G38"/>
  <c r="G11" i="17" s="1"/>
  <c r="H37" l="1"/>
  <c r="H38" s="1"/>
  <c r="G23"/>
  <c r="H28" i="10"/>
  <c r="H38"/>
  <c r="G19" i="17"/>
  <c r="H37" i="10"/>
  <c r="G24" i="17" l="1"/>
  <c r="H25" i="10"/>
  <c r="H20"/>
  <c r="I52" i="11"/>
  <c r="H40" i="10"/>
  <c r="H46" s="1"/>
  <c r="I53" i="11"/>
  <c r="H29" i="10" l="1"/>
  <c r="G26" i="17"/>
  <c r="H21" i="10"/>
  <c r="I56" i="11"/>
  <c r="I61" s="1"/>
  <c r="I66" s="1"/>
  <c r="I67" s="1"/>
  <c r="I68" s="1"/>
  <c r="I70" s="1"/>
  <c r="I72" s="1"/>
  <c r="G39" i="17" l="1"/>
  <c r="H30" i="9"/>
  <c r="I73" i="11"/>
  <c r="I74" s="1"/>
  <c r="H9" i="19"/>
  <c r="H30" i="10"/>
  <c r="H32" s="1"/>
  <c r="H10" i="19"/>
  <c r="H53" i="10" l="1"/>
  <c r="H47"/>
  <c r="G41" i="17"/>
  <c r="H31" i="9"/>
  <c r="H35" s="1"/>
  <c r="I27" i="10"/>
  <c r="H36" i="9" l="1"/>
  <c r="H37" s="1"/>
  <c r="H38" s="1"/>
  <c r="H11" i="17" s="1"/>
  <c r="H40" i="9"/>
  <c r="G52" i="4" s="1"/>
  <c r="I13" i="19" s="1"/>
  <c r="H22" i="17"/>
  <c r="H9"/>
  <c r="I28" i="10" l="1"/>
  <c r="H23" i="17"/>
  <c r="H19"/>
  <c r="I37" i="10"/>
  <c r="I38"/>
  <c r="H24" i="17" l="1"/>
  <c r="I25" i="10"/>
  <c r="I20"/>
  <c r="I40"/>
  <c r="I46" s="1"/>
  <c r="I21" l="1"/>
  <c r="H26" i="17"/>
  <c r="I29" i="10"/>
  <c r="H39" i="17" l="1"/>
  <c r="I30" i="10"/>
  <c r="I32" s="1"/>
  <c r="I10" i="19"/>
  <c r="I9"/>
  <c r="I53" i="10" l="1"/>
  <c r="I47"/>
  <c r="H41" i="17"/>
</calcChain>
</file>

<file path=xl/sharedStrings.xml><?xml version="1.0" encoding="utf-8"?>
<sst xmlns="http://schemas.openxmlformats.org/spreadsheetml/2006/main" count="912" uniqueCount="532">
  <si>
    <t>Assumptions and Input Variables</t>
  </si>
  <si>
    <t>General</t>
  </si>
  <si>
    <t>Client:</t>
  </si>
  <si>
    <t>Project:</t>
  </si>
  <si>
    <t>Currency heading:</t>
  </si>
  <si>
    <t>Footnote #1:</t>
  </si>
  <si>
    <t>Yes</t>
  </si>
  <si>
    <t>Footnote #2:</t>
  </si>
  <si>
    <t>Some totals may not add due to rounding.  See Statement of Limiting Conditions.</t>
  </si>
  <si>
    <t>Footnote #3:</t>
  </si>
  <si>
    <t>Draft and preliminary.</t>
  </si>
  <si>
    <t>Footnote #4:</t>
  </si>
  <si>
    <t>All data subject to change upon completion of additional analysis.</t>
  </si>
  <si>
    <t>Copyright language:</t>
  </si>
  <si>
    <t>Run date:</t>
  </si>
  <si>
    <t>Run time:</t>
  </si>
  <si>
    <t>Exhibit Lettering</t>
  </si>
  <si>
    <t>First year of projection</t>
  </si>
  <si>
    <t>Exhibit</t>
  </si>
  <si>
    <t>Working Capital Calculations</t>
  </si>
  <si>
    <t>G &amp; A Expenses</t>
  </si>
  <si>
    <t>Projected Fixed Asset Schedule</t>
  </si>
  <si>
    <t>Depreciation</t>
  </si>
  <si>
    <t>Asset value:</t>
  </si>
  <si>
    <t>Rate</t>
  </si>
  <si>
    <t>Opening balance</t>
  </si>
  <si>
    <t>Disposals</t>
  </si>
  <si>
    <t>Closing balance</t>
  </si>
  <si>
    <t>Depreciation:</t>
  </si>
  <si>
    <t>Charge for the year</t>
  </si>
  <si>
    <t xml:space="preserve"> Disposals</t>
  </si>
  <si>
    <t>Dep. Rate</t>
  </si>
  <si>
    <t>Asset Class 5</t>
  </si>
  <si>
    <t>Asset Class 6</t>
  </si>
  <si>
    <t>Asset Class 7</t>
  </si>
  <si>
    <t>Additions to assets</t>
  </si>
  <si>
    <t>Dep for the year</t>
  </si>
  <si>
    <t>Acc. dep</t>
  </si>
  <si>
    <t>Closing balance of net assets</t>
  </si>
  <si>
    <t>ASSET SUMMARY</t>
  </si>
  <si>
    <t>Total assets</t>
  </si>
  <si>
    <t>Depreciation for the year</t>
  </si>
  <si>
    <t>Accumulated Depreciation</t>
  </si>
  <si>
    <t>Book Value</t>
  </si>
  <si>
    <t>Investments</t>
  </si>
  <si>
    <t>Additions</t>
  </si>
  <si>
    <t xml:space="preserve">Sale </t>
  </si>
  <si>
    <t>Deferred Charges</t>
  </si>
  <si>
    <t>No of years</t>
  </si>
  <si>
    <t>Expenses</t>
  </si>
  <si>
    <t xml:space="preserve">  -Opening balance</t>
  </si>
  <si>
    <t xml:space="preserve">  -Additions</t>
  </si>
  <si>
    <t xml:space="preserve">  -Closing balance</t>
  </si>
  <si>
    <t>Amortisation</t>
  </si>
  <si>
    <t xml:space="preserve"> - amortisation of existing charges</t>
  </si>
  <si>
    <t xml:space="preserve">  -amortsation of additions</t>
  </si>
  <si>
    <t>Net Deferred charges</t>
  </si>
  <si>
    <t>Projected Revenue Information</t>
  </si>
  <si>
    <t xml:space="preserve">Gross Revenue </t>
  </si>
  <si>
    <t>OTHER INCOME in '000</t>
  </si>
  <si>
    <t>Investment income</t>
  </si>
  <si>
    <t>Profit on sale of investments</t>
  </si>
  <si>
    <t>Profit on sale of plant and equipment</t>
  </si>
  <si>
    <t>Income from bank deposits</t>
  </si>
  <si>
    <t>Other</t>
  </si>
  <si>
    <t>Total</t>
  </si>
  <si>
    <t>Total Revenue</t>
  </si>
  <si>
    <t>Working Capital calculations</t>
  </si>
  <si>
    <t>INVENTORIES</t>
  </si>
  <si>
    <t>input days</t>
  </si>
  <si>
    <t>Goods purchased &amp; in transit</t>
  </si>
  <si>
    <t>Goods-in-stock</t>
  </si>
  <si>
    <t>Spares</t>
  </si>
  <si>
    <t>ACCOUNTS RECEIVABLE AND PREPAYMENTS</t>
  </si>
  <si>
    <t>No. of days</t>
  </si>
  <si>
    <t>Trade accounts receivable</t>
  </si>
  <si>
    <t>ACCOUNTS PAYABLE AND ACCRUALS</t>
  </si>
  <si>
    <t>A.</t>
  </si>
  <si>
    <t>Trade accounts payable</t>
  </si>
  <si>
    <t>Other payables</t>
  </si>
  <si>
    <t>Accrued expenses</t>
  </si>
  <si>
    <t>B.</t>
  </si>
  <si>
    <t>Provision for bad debts</t>
  </si>
  <si>
    <t>input as% of sales</t>
  </si>
  <si>
    <t>Basic Salary</t>
  </si>
  <si>
    <t>Nationality</t>
  </si>
  <si>
    <t>General &amp; Administration Expenses</t>
  </si>
  <si>
    <t>Travel</t>
  </si>
  <si>
    <t>Loan Schedule</t>
  </si>
  <si>
    <t xml:space="preserve">Loan Amt </t>
  </si>
  <si>
    <t>Start date</t>
  </si>
  <si>
    <t>No. of Installments</t>
  </si>
  <si>
    <t>Inst Freq. days</t>
  </si>
  <si>
    <t>Interest rate % (p.a.)</t>
  </si>
  <si>
    <t>Int-03</t>
  </si>
  <si>
    <t>Loan 1</t>
  </si>
  <si>
    <t>Loan 2</t>
  </si>
  <si>
    <t>Loan 3</t>
  </si>
  <si>
    <t>Loan 4</t>
  </si>
  <si>
    <t>Short Term loan</t>
  </si>
  <si>
    <t>Term Loan</t>
  </si>
  <si>
    <t>Additons</t>
  </si>
  <si>
    <t>Repayments</t>
  </si>
  <si>
    <t>Interest Expense</t>
  </si>
  <si>
    <t>Current portion of long term loan</t>
  </si>
  <si>
    <t>Short Term Loan</t>
  </si>
  <si>
    <t>Projected Income Statements</t>
  </si>
  <si>
    <t>Gross revenue</t>
  </si>
  <si>
    <t>Cost of sales</t>
  </si>
  <si>
    <t>Gross profit</t>
  </si>
  <si>
    <t>Other income</t>
  </si>
  <si>
    <t>Interest income</t>
  </si>
  <si>
    <t>Selling and distribution expenses</t>
  </si>
  <si>
    <t>General and administrative expense</t>
  </si>
  <si>
    <t>Operating income</t>
  </si>
  <si>
    <t>Other expenses</t>
  </si>
  <si>
    <t>Non-operating expense (income)</t>
  </si>
  <si>
    <t>Earnings before interest and taxes</t>
  </si>
  <si>
    <t>Interest expense</t>
  </si>
  <si>
    <t>Special items (expense)</t>
  </si>
  <si>
    <t>Pretax income</t>
  </si>
  <si>
    <t>Extraordinary items (expense)</t>
  </si>
  <si>
    <t>Discontinued operations (expense)</t>
  </si>
  <si>
    <t>Net income</t>
  </si>
  <si>
    <t>Transfer to Statutory reserve</t>
  </si>
  <si>
    <t>Dividends for the year</t>
  </si>
  <si>
    <t>Net income to common</t>
  </si>
  <si>
    <t>Projected Balance Sheet</t>
  </si>
  <si>
    <t>Property, plant &amp; equipment</t>
  </si>
  <si>
    <t>Long term Investments</t>
  </si>
  <si>
    <t>Deferred charges</t>
  </si>
  <si>
    <t>Current Assets</t>
  </si>
  <si>
    <t>Inventories</t>
  </si>
  <si>
    <t>Accounts receivables and prepayments</t>
  </si>
  <si>
    <t>Due from affiliates</t>
  </si>
  <si>
    <t>Short term Investments</t>
  </si>
  <si>
    <t>Bank and cash</t>
  </si>
  <si>
    <t>Current Liabilities</t>
  </si>
  <si>
    <t>Accounts payable</t>
  </si>
  <si>
    <t>Bank Overdrafts</t>
  </si>
  <si>
    <t>Short term loans</t>
  </si>
  <si>
    <t>Proposed Dividends</t>
  </si>
  <si>
    <t>Net Current Assets</t>
  </si>
  <si>
    <t>Assets Employed</t>
  </si>
  <si>
    <t>Shareholders Funds</t>
  </si>
  <si>
    <t>Capital</t>
  </si>
  <si>
    <t>Statutory reserve</t>
  </si>
  <si>
    <t>Retained earnings</t>
  </si>
  <si>
    <t>Other Reserves</t>
  </si>
  <si>
    <t>Non Current Liabilities</t>
  </si>
  <si>
    <t>Long term loan</t>
  </si>
  <si>
    <t>Employees' terminal benefits</t>
  </si>
  <si>
    <t>Difference (cash balance)</t>
  </si>
  <si>
    <t xml:space="preserve">Sales </t>
  </si>
  <si>
    <t>Gross revenues</t>
  </si>
  <si>
    <t xml:space="preserve">Expenses </t>
  </si>
  <si>
    <t>Finance charges</t>
  </si>
  <si>
    <t>Gross expenses</t>
  </si>
  <si>
    <t>Profit/(loss)</t>
  </si>
  <si>
    <t>Add: Disallowable expenses</t>
  </si>
  <si>
    <t>Provision for EOSB</t>
  </si>
  <si>
    <t>Doubtful debt provision</t>
  </si>
  <si>
    <t>Other provisions</t>
  </si>
  <si>
    <t>Excess depreciation</t>
  </si>
  <si>
    <t>Capital items</t>
  </si>
  <si>
    <t>Head office charges</t>
  </si>
  <si>
    <t>Unusual payments</t>
  </si>
  <si>
    <t>Directors remuneration</t>
  </si>
  <si>
    <t>Foreign school fees</t>
  </si>
  <si>
    <t>Prior year items</t>
  </si>
  <si>
    <t>Unrealised exchange losses</t>
  </si>
  <si>
    <t>Less</t>
  </si>
  <si>
    <t>Paid EOSB</t>
  </si>
  <si>
    <t>Bad debts written off against provision</t>
  </si>
  <si>
    <t>Payments against provisions</t>
  </si>
  <si>
    <t>ADJUSTED PROFIT/(LOSS)</t>
  </si>
  <si>
    <t>ALLOCATION</t>
  </si>
  <si>
    <t>%</t>
  </si>
  <si>
    <t>1st</t>
  </si>
  <si>
    <t>Next</t>
  </si>
  <si>
    <t>Bal</t>
  </si>
  <si>
    <t>TOTAL TAX</t>
  </si>
  <si>
    <t>Balances at begining of year</t>
  </si>
  <si>
    <t>Share capital</t>
  </si>
  <si>
    <t>Legal reserves</t>
  </si>
  <si>
    <t>Provision for ESOB</t>
  </si>
  <si>
    <t>Add</t>
  </si>
  <si>
    <t>Adjusted profit for tax</t>
  </si>
  <si>
    <t>PP&amp;E (NBV)</t>
  </si>
  <si>
    <t>Adjustment to current profit</t>
  </si>
  <si>
    <t>1 USD=</t>
  </si>
  <si>
    <t>Salaries</t>
  </si>
  <si>
    <t>Non-operating salaries</t>
  </si>
  <si>
    <t>Growth Rate (p.a.)</t>
  </si>
  <si>
    <t>Direct Salaries</t>
  </si>
  <si>
    <t>Administration</t>
  </si>
  <si>
    <t>TOTAL</t>
  </si>
  <si>
    <t>Net income before extra ordinaries</t>
  </si>
  <si>
    <t>Amortization of deferred charges</t>
  </si>
  <si>
    <t>Fixed Assets Schedule</t>
  </si>
  <si>
    <t>Cash and Cash Equivalents at the End of the Period</t>
  </si>
  <si>
    <t>Net Increase / Decrease in Cash and Cash Equivalents</t>
  </si>
  <si>
    <t>Net Cash Provided by (Used in) Financing Activities</t>
  </si>
  <si>
    <t>Issuance of Common Stock</t>
  </si>
  <si>
    <t>Net Cash Flows from Financing Activities</t>
  </si>
  <si>
    <t>Net Cash Used in Investing Activities</t>
  </si>
  <si>
    <t>Cash Flows from Investing Activities</t>
  </si>
  <si>
    <t>Net Cash Flow Provided by Operating Activities</t>
  </si>
  <si>
    <t>Total Adjustments to Operating Income</t>
  </si>
  <si>
    <t>Provision for employees terminal benefits</t>
  </si>
  <si>
    <t>Changes to provision for doubtful debt</t>
  </si>
  <si>
    <t>Transfer to statutory reserves</t>
  </si>
  <si>
    <t>Depreciation Expense</t>
  </si>
  <si>
    <t xml:space="preserve">Adjustments to Net Income </t>
  </si>
  <si>
    <t>Net Change to Accounts Payable</t>
  </si>
  <si>
    <t>Net Change to Accounts Receivables</t>
  </si>
  <si>
    <t>Net Change in inventories</t>
  </si>
  <si>
    <t>Changes to current assets &amp; current liabilities</t>
  </si>
  <si>
    <t>Net Income</t>
  </si>
  <si>
    <t>Cash Flow from Operating Activities</t>
  </si>
  <si>
    <t>Cash and Cash Equivalents at the Beginning of the Period</t>
  </si>
  <si>
    <t>Projected Cash Flow Statements</t>
  </si>
  <si>
    <t>Term loan</t>
  </si>
  <si>
    <t>Op bal</t>
  </si>
  <si>
    <t>Financial Ratio Analysis</t>
  </si>
  <si>
    <t>Balance Sheet Ratio Analysis</t>
  </si>
  <si>
    <t>Current Ratio</t>
  </si>
  <si>
    <t xml:space="preserve"> = Total Current Assets / Total Current Liabilities</t>
  </si>
  <si>
    <t>Quick Ratio</t>
  </si>
  <si>
    <t xml:space="preserve"> = Cash + Receivables / Total Current Liabilities</t>
  </si>
  <si>
    <t>Income Statement Ratio Analysis</t>
  </si>
  <si>
    <t>Gross Margin Ratio</t>
  </si>
  <si>
    <t xml:space="preserve"> = Gross Profit / Net Sales</t>
  </si>
  <si>
    <t>Net Profit Margin Ratio</t>
  </si>
  <si>
    <t xml:space="preserve"> = Net Profit Before Tax / Net Sales</t>
  </si>
  <si>
    <t>Cost of Sales</t>
  </si>
  <si>
    <t>Projected Balance Sheets</t>
  </si>
  <si>
    <t>Income Statements</t>
  </si>
  <si>
    <t>Advisories for Cockpit Crew</t>
  </si>
  <si>
    <t>Crew Security</t>
  </si>
  <si>
    <t>Landing Permits</t>
  </si>
  <si>
    <t>NOTAMS Services</t>
  </si>
  <si>
    <t>Passenger Security</t>
  </si>
  <si>
    <t>Traffic Rights Requests</t>
  </si>
  <si>
    <t>TSA permits for USA</t>
  </si>
  <si>
    <t>Trip Planner-Training</t>
  </si>
  <si>
    <t>Weather Services</t>
  </si>
  <si>
    <t>Customs &amp; Immigration</t>
  </si>
  <si>
    <t>De-Icing arrangements</t>
  </si>
  <si>
    <t>EAPIS Services</t>
  </si>
  <si>
    <t xml:space="preserve">CREW SERVICES </t>
  </si>
  <si>
    <t>Catering Arrangements on Credit</t>
  </si>
  <si>
    <t>Fueling Arrangements</t>
  </si>
  <si>
    <t>Ground Handling Arrangements On Credit</t>
  </si>
  <si>
    <t>Meet and Assist Services</t>
  </si>
  <si>
    <t>Rent-A-Car &amp; Chauffer Driven Car arrangements</t>
  </si>
  <si>
    <t>Sight Seeing Arrangements</t>
  </si>
  <si>
    <t>Travel Insurance</t>
  </si>
  <si>
    <t>Dependents</t>
  </si>
  <si>
    <t>No. of OOB days</t>
  </si>
  <si>
    <t>Per diem</t>
  </si>
  <si>
    <t>Hotel</t>
  </si>
  <si>
    <t>Vacation Travel</t>
  </si>
  <si>
    <t>Medical</t>
  </si>
  <si>
    <t>Transportation</t>
  </si>
  <si>
    <t>Housing</t>
  </si>
  <si>
    <t>GOSI</t>
  </si>
  <si>
    <t>EOSB</t>
  </si>
  <si>
    <t>Fixed assets</t>
  </si>
  <si>
    <t>Fixed assets value</t>
  </si>
  <si>
    <t>Corporate Training Specialist</t>
  </si>
  <si>
    <t>S</t>
  </si>
  <si>
    <t>Y</t>
  </si>
  <si>
    <t>Customer Support Services Manager</t>
  </si>
  <si>
    <t>HR Administrator</t>
  </si>
  <si>
    <t>Management</t>
  </si>
  <si>
    <t>President &amp; CEO</t>
  </si>
  <si>
    <t>Director - Product Development</t>
  </si>
  <si>
    <t>Director - Human Resources</t>
  </si>
  <si>
    <t>Director - Sales and Marketing</t>
  </si>
  <si>
    <t>Manager - Quality Assurance</t>
  </si>
  <si>
    <t>Senior Manager - Sales</t>
  </si>
  <si>
    <t>Senior Manager - Media and Public Relations</t>
  </si>
  <si>
    <t>Sales &amp; Distribution</t>
  </si>
  <si>
    <t>Subscription, books and periodicals</t>
  </si>
  <si>
    <t>Office Accessories</t>
  </si>
  <si>
    <t>Communication/Telephone</t>
  </si>
  <si>
    <t>IT Systems</t>
  </si>
  <si>
    <t>Fuel Coordinator</t>
  </si>
  <si>
    <t>Director - Finance</t>
  </si>
  <si>
    <t>Director - Vendor Relations</t>
  </si>
  <si>
    <t>Personal Assistant to CEO</t>
  </si>
  <si>
    <t>Senior Manager - Marketing</t>
  </si>
  <si>
    <t>Employee Category</t>
  </si>
  <si>
    <t>Travel Allowance</t>
  </si>
  <si>
    <t>Operations</t>
  </si>
  <si>
    <t>Communication Allowance</t>
  </si>
  <si>
    <t>Annual Travel Expense</t>
  </si>
  <si>
    <t>Annual Communication Expense</t>
  </si>
  <si>
    <t>Security Reports</t>
  </si>
  <si>
    <t>Price in USD</t>
  </si>
  <si>
    <t>Service Description</t>
  </si>
  <si>
    <t>City Assessment</t>
  </si>
  <si>
    <t>Hotel Assessment</t>
  </si>
  <si>
    <t>Country Assessment</t>
  </si>
  <si>
    <t>Discounts</t>
  </si>
  <si>
    <t>Executive protection</t>
  </si>
  <si>
    <t>Secure Transportation</t>
  </si>
  <si>
    <t>Office Rental</t>
  </si>
  <si>
    <t>Personal Indemnity Insurance @ 1% of SR 2mn</t>
  </si>
  <si>
    <t>Insurance @ 1% of Fixed Assets Book Value</t>
  </si>
  <si>
    <t>Hotel Arrangements</t>
  </si>
  <si>
    <t>Refueling Arrangements</t>
  </si>
  <si>
    <t>Catering Services</t>
  </si>
  <si>
    <t>Operational Estimates</t>
  </si>
  <si>
    <t>Contracted</t>
  </si>
  <si>
    <t>Other assumptions</t>
  </si>
  <si>
    <t>Contracted segments</t>
  </si>
  <si>
    <t>Total Segments</t>
  </si>
  <si>
    <t>Average Segment Hours</t>
  </si>
  <si>
    <t>Average Fuel Consumption (USG/Hour)</t>
  </si>
  <si>
    <t>Average Fuel Consumption Per Segment</t>
  </si>
  <si>
    <t>Percentage of in region services</t>
  </si>
  <si>
    <t>SECURITY SERVICES</t>
  </si>
  <si>
    <t>Calls Handled per shift by each Customer Service Exec</t>
  </si>
  <si>
    <t>Shifts/Day</t>
  </si>
  <si>
    <t>Hotel Research(Inquiry &amp; Availability &amp; Pricing)</t>
  </si>
  <si>
    <t>No of Junior Execs supervised by each Senior</t>
  </si>
  <si>
    <t>Fuel Price USD/USG</t>
  </si>
  <si>
    <t>Catering Costs per Seat</t>
  </si>
  <si>
    <t>Average Seats per segment</t>
  </si>
  <si>
    <t>(Cost of Sales/Gross Revenues)</t>
  </si>
  <si>
    <t>Designation</t>
  </si>
  <si>
    <t>Sales &amp; Marketing Salaries</t>
  </si>
  <si>
    <t>Non Operations &amp; Salaries</t>
  </si>
  <si>
    <t>Management Personnel</t>
  </si>
  <si>
    <t>Admin Personnel</t>
  </si>
  <si>
    <t>Contract Revenues</t>
  </si>
  <si>
    <t>Communication Costs</t>
  </si>
  <si>
    <t>Note:</t>
  </si>
  <si>
    <t>Travel &amp; Communication costs for Production personnel have been added to Cost of Sales</t>
  </si>
  <si>
    <t>Growth p.a</t>
  </si>
  <si>
    <t>Travel &amp; Communication Expenses</t>
  </si>
  <si>
    <t>No. of Sales &amp; Marketing Personnel</t>
  </si>
  <si>
    <t>No. of Non Operations &amp; Admin Personnel</t>
  </si>
  <si>
    <t>Travel &amp; Communication costs for others have been added to G&amp;A</t>
  </si>
  <si>
    <t>Total Contracted Segments</t>
  </si>
  <si>
    <t>Out of which, segments requiring services</t>
  </si>
  <si>
    <t>Segments for which services will be provided in-house</t>
  </si>
  <si>
    <t>All Segments</t>
  </si>
  <si>
    <t>Segments serviced in-house</t>
  </si>
  <si>
    <t xml:space="preserve">Discounts on price for long term contracts </t>
  </si>
  <si>
    <t>Service Pricing</t>
  </si>
  <si>
    <t>Segments serviced by third parties</t>
  </si>
  <si>
    <t>Corporate Training Assistant</t>
  </si>
  <si>
    <t>Travel trips required</t>
  </si>
  <si>
    <t>Start date of operations (MMM-2009)</t>
  </si>
  <si>
    <t>% of the year in operations (Calculated. Do not change)</t>
  </si>
  <si>
    <t>Number of operative pre-revenue months</t>
  </si>
  <si>
    <t>% of the year with revenue (Calculated. Do not change)</t>
  </si>
  <si>
    <t>For the purpose of calculation only. Can be deleted after calculation</t>
  </si>
  <si>
    <t>Number of segments</t>
  </si>
  <si>
    <t>Rounded</t>
  </si>
  <si>
    <t>Growth rate multiplier (pls ignore. For calculation only)</t>
  </si>
  <si>
    <t>Long-Term contracts</t>
  </si>
  <si>
    <t>Operations-Total</t>
  </si>
  <si>
    <t>Annual Office Supplies</t>
  </si>
  <si>
    <t>Office Supplies</t>
  </si>
  <si>
    <t>Outsourcing expenses</t>
  </si>
  <si>
    <t>Long-Term Contracts</t>
  </si>
  <si>
    <t>Operations Salaries- Long-Term Contract</t>
  </si>
  <si>
    <t>Third Party expenses</t>
  </si>
  <si>
    <t>Revenue</t>
  </si>
  <si>
    <t xml:space="preserve"> Long-Term contracts</t>
  </si>
  <si>
    <t>Total Cost of Sales</t>
  </si>
  <si>
    <t>Gross Profit</t>
  </si>
  <si>
    <t>Total Gross Profit</t>
  </si>
  <si>
    <t>Gross Margin</t>
  </si>
  <si>
    <t>Total Gross Margin</t>
  </si>
  <si>
    <t>Net Margin</t>
  </si>
  <si>
    <t>Leasehold Improvements</t>
  </si>
  <si>
    <t>Total Net Margin</t>
  </si>
  <si>
    <t>Term loan-servicing</t>
  </si>
  <si>
    <t>Provision for dividends</t>
  </si>
  <si>
    <t>Dividend</t>
  </si>
  <si>
    <t>Service Details</t>
  </si>
  <si>
    <t>Cash-Flow Statements</t>
  </si>
  <si>
    <t>Professional and legal services</t>
  </si>
  <si>
    <t>Admin Subcontract costs (HR, finance, Office Support Staff, Drivers)</t>
  </si>
  <si>
    <t>No. of Operations Personnel:</t>
  </si>
  <si>
    <t>Supervisor</t>
  </si>
  <si>
    <t>E</t>
  </si>
  <si>
    <t>Call center-Senior</t>
  </si>
  <si>
    <t>Call center-Junior</t>
  </si>
  <si>
    <t>Total personnel</t>
  </si>
  <si>
    <t>Business Promotion</t>
  </si>
  <si>
    <t>% of the year pre-operative (Calculated. Do not change)</t>
  </si>
  <si>
    <t xml:space="preserve">Sales and marketing </t>
  </si>
  <si>
    <t>Non-operating overheads</t>
  </si>
  <si>
    <t>Total Preoperative expenses</t>
  </si>
  <si>
    <t>Interest on loan</t>
  </si>
  <si>
    <t>Pre-opeative expenses</t>
  </si>
  <si>
    <t>Check</t>
  </si>
  <si>
    <t>G&amp;A (excl. Depreciation)</t>
  </si>
  <si>
    <t>Communications Coordinator</t>
  </si>
  <si>
    <t>Pre-operative expenses</t>
  </si>
  <si>
    <t>Revenue Details</t>
  </si>
  <si>
    <t>Revenue Aggregate, Gross Margin</t>
  </si>
  <si>
    <t>Travel, Communication &amp; Office Supplies</t>
  </si>
  <si>
    <t>Pre-Operative Expenses</t>
  </si>
  <si>
    <t>Operational Ratio Analysis</t>
  </si>
  <si>
    <t>Revenue per segment</t>
  </si>
  <si>
    <t>Revenue per employee</t>
  </si>
  <si>
    <t>Operational Assumptions</t>
  </si>
  <si>
    <t xml:space="preserve"> </t>
  </si>
  <si>
    <t>Total Operations Salaries- Long-Term Contract</t>
  </si>
  <si>
    <t>Crew Scheduler</t>
  </si>
  <si>
    <t>Marine Operations Services</t>
  </si>
  <si>
    <t>Number of Marine segments per month</t>
  </si>
  <si>
    <t>Marine PLANNERS</t>
  </si>
  <si>
    <t>Marine Feasibility &amp; Safety Report Services</t>
  </si>
  <si>
    <t>Marine Planning</t>
  </si>
  <si>
    <t>Landing &amp; OverMarine Permits revisions</t>
  </si>
  <si>
    <t>Over Marine Clearances</t>
  </si>
  <si>
    <t>Marine  DISPATCHERS</t>
  </si>
  <si>
    <t>Marine Dispatch Training</t>
  </si>
  <si>
    <t>Marine Logs/ Record Keeping</t>
  </si>
  <si>
    <t>Marines per day</t>
  </si>
  <si>
    <t>Staff for Marine planning</t>
  </si>
  <si>
    <t>Marines per Day (Contract)</t>
  </si>
  <si>
    <t>Marine Management Executive</t>
  </si>
  <si>
    <t>Senior Marine Management Executive</t>
  </si>
  <si>
    <t>Director - Marine Management</t>
  </si>
  <si>
    <t>Number of Seacraft on Contract</t>
  </si>
  <si>
    <t>Number of segments per Private Seacraft</t>
  </si>
  <si>
    <t>Number of Commercial Seacraft contracted</t>
  </si>
  <si>
    <t>Number of segments per Commercial Seacraft</t>
  </si>
  <si>
    <t>Commercial Sealines</t>
  </si>
  <si>
    <t>Approval of New Seaports</t>
  </si>
  <si>
    <t>Seaport Landing &amp; parking Slots arrangements</t>
  </si>
  <si>
    <t>Seaport Slots Coordination</t>
  </si>
  <si>
    <t>Seaport Fire &amp; Rescue Category upgrades</t>
  </si>
  <si>
    <t>Seacraft Data</t>
  </si>
  <si>
    <t>Hangar of Seacraft</t>
  </si>
  <si>
    <t>Travel Arrangements (Sealine &amp; Ground)</t>
  </si>
  <si>
    <t>Seacraft Security</t>
  </si>
  <si>
    <t>Seaport Assessment</t>
  </si>
  <si>
    <t>Contracted Services - Monthly revenue per Seacraft</t>
  </si>
  <si>
    <t>Commercial Sealine - Monthly revenue per Seacraft</t>
  </si>
  <si>
    <t xml:space="preserve">Commercial Sealine segments </t>
  </si>
  <si>
    <t>Commercial Sealine Revenues</t>
  </si>
  <si>
    <t>Commercial Sealine revenues-calculated as sum of revenue</t>
  </si>
  <si>
    <t>Charge per Seacraft per month without Seacraft scheduling and crew scheduling</t>
  </si>
  <si>
    <t xml:space="preserve"> Commercial Sealines</t>
  </si>
  <si>
    <t>Segments handled by each Crew/Seacraft Scheduler per day</t>
  </si>
  <si>
    <t>Seacraft covered by each contract</t>
  </si>
  <si>
    <t>No. of Operations Personnel: Commercial Sealines</t>
  </si>
  <si>
    <t>Seacraft Scheduler</t>
  </si>
  <si>
    <t>Operations Salaries-Commercial Sealine</t>
  </si>
  <si>
    <t>Revenue per Seacraft (Contract only)</t>
  </si>
  <si>
    <t>Segments to which SOC Services are provided</t>
  </si>
  <si>
    <t>Number of cities covered by SOC Services</t>
  </si>
  <si>
    <t>SOC Mark up on services provided by Third Party</t>
  </si>
  <si>
    <t>Computerized Marine Plan - Sea-TOPS Marine</t>
  </si>
  <si>
    <t>Computerized Marine Plan - Non Sea-Tops</t>
  </si>
  <si>
    <t>© 2009 by p2w2.  All rights reserved.</t>
  </si>
  <si>
    <t>À la carte</t>
  </si>
  <si>
    <t>À la carte segments (including chartered segments)</t>
  </si>
  <si>
    <t>À la carte Services Revenue Details</t>
  </si>
  <si>
    <t>À la carte Services Revenue</t>
  </si>
  <si>
    <t>Revenue from À la carte Services (In House)</t>
  </si>
  <si>
    <t>Revenue from À la carte Services (Third Party)</t>
  </si>
  <si>
    <t>Total À la carte Revenues</t>
  </si>
  <si>
    <t>À la carte-In house</t>
  </si>
  <si>
    <t>À la carte services - In house</t>
  </si>
  <si>
    <t>À la carte services - Third Party Rebills</t>
  </si>
  <si>
    <t>Marines per Day (À la carte + Contract)</t>
  </si>
  <si>
    <t>Marines per Day (À la carte)</t>
  </si>
  <si>
    <t>Operations Salaries- À la carte-In house</t>
  </si>
  <si>
    <t>Leasinged Segments</t>
  </si>
  <si>
    <t>% of Leasinged Marines needing SOC services</t>
  </si>
  <si>
    <t>Leasing Charges by third party (per hour, per segment)</t>
  </si>
  <si>
    <t>Leasing mark up by COMPANY</t>
  </si>
  <si>
    <t xml:space="preserve"> Leasing services</t>
  </si>
  <si>
    <t>Leasing</t>
  </si>
  <si>
    <t>Leasing Services</t>
  </si>
  <si>
    <t>No. of Operations Personnel: Leasing Services</t>
  </si>
  <si>
    <t>Leasing Services Executive</t>
  </si>
  <si>
    <t>Total Operations Salaries (excl. Leasing)</t>
  </si>
  <si>
    <t>Operations Salaries-À la carte-Leasing Services</t>
  </si>
  <si>
    <t>Customer Delight Services Executive</t>
  </si>
  <si>
    <t>Senior Customer Delight Services Executive</t>
  </si>
  <si>
    <t>Director - Customer Delight</t>
  </si>
  <si>
    <t xml:space="preserve"> À la carte services - In house</t>
  </si>
  <si>
    <t xml:space="preserve"> À la carte services - Third Party Rebills</t>
  </si>
  <si>
    <t xml:space="preserve"> À la carte services - Total</t>
  </si>
  <si>
    <t>Office Rental-Cairo</t>
  </si>
  <si>
    <t>Registration-Cairo</t>
  </si>
  <si>
    <t>Non South African pensions etc</t>
  </si>
  <si>
    <t>Non-South African Shareholder(s)</t>
  </si>
  <si>
    <t>South African Shareholder(s)</t>
  </si>
  <si>
    <t xml:space="preserve"> CALCULATION OF TAX ON NON South African</t>
  </si>
  <si>
    <t xml:space="preserve">Due from South African shareholders </t>
  </si>
  <si>
    <t>South African shareholding</t>
  </si>
  <si>
    <t>ZAR100,000  @ 25%</t>
  </si>
  <si>
    <t>ZAR400,000 @ 35%</t>
  </si>
  <si>
    <t>ZAR500,000 @ 40%</t>
  </si>
  <si>
    <t>over ZAR1,000,000@ 45%</t>
  </si>
  <si>
    <t>Tax &amp; Social Cess Calculations</t>
  </si>
  <si>
    <t>CALCULATION OF Social Cess</t>
  </si>
  <si>
    <t>Social Cess BASE</t>
  </si>
  <si>
    <t>Social Cess DUE</t>
  </si>
  <si>
    <t>Social Cess payable</t>
  </si>
  <si>
    <t>Social Cess carried forward</t>
  </si>
  <si>
    <t>Social Cess and income tax-prov.</t>
  </si>
  <si>
    <t>Income taxes and Social Cess</t>
  </si>
  <si>
    <t>Provision for Social Cess &amp; Tax</t>
  </si>
  <si>
    <t>Customized Care services</t>
  </si>
  <si>
    <t>Total-Customized Care services</t>
  </si>
  <si>
    <t>(in US Dollars)</t>
  </si>
  <si>
    <t>Sample Company</t>
  </si>
  <si>
    <t>Permits</t>
  </si>
  <si>
    <t>Boat dispatching</t>
  </si>
  <si>
    <t>Ship Security</t>
  </si>
  <si>
    <t>Advisories for Crew</t>
  </si>
  <si>
    <t>Approval of New ports</t>
  </si>
  <si>
    <t>Other Services</t>
  </si>
  <si>
    <t>Others</t>
  </si>
  <si>
    <t>Security</t>
  </si>
  <si>
    <t>Revenue from In House Services provided À la carte (in USDs)</t>
  </si>
  <si>
    <t>Revenue from Services Provided through Third Party (in USDs)</t>
  </si>
  <si>
    <t>USDs</t>
  </si>
</sst>
</file>

<file path=xl/styles.xml><?xml version="1.0" encoding="utf-8"?>
<styleSheet xmlns="http://schemas.openxmlformats.org/spreadsheetml/2006/main">
  <numFmts count="27">
    <numFmt numFmtId="6" formatCode="&quot;$&quot;#,##0_);[Red]\(&quot;$&quot;#,##0\)"/>
    <numFmt numFmtId="8" formatCode="&quot;$&quot;#,##0.00_);[Red]\(&quot;$&quot;#,##0.0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_);\(0\)"/>
    <numFmt numFmtId="165" formatCode="#,##0.000_);\(#,##0.000\)"/>
    <numFmt numFmtId="166" formatCode="General_);[Red]\-General_)"/>
    <numFmt numFmtId="167" formatCode="mm/dd/yy"/>
    <numFmt numFmtId="168" formatCode="_(* #,##0_);_(* \(#,##0\);_(* &quot;-&quot;??_);_(@_)"/>
    <numFmt numFmtId="169" formatCode="mmmm\-yy"/>
    <numFmt numFmtId="170" formatCode="0.0000"/>
    <numFmt numFmtId="171" formatCode="_(* #,##0.0_);_(* \(#,##0.0\);_(* &quot;-&quot;??_);_(@_)"/>
    <numFmt numFmtId="172" formatCode="&quot;error&quot;;&quot;error&quot;;&quot;OK&quot;;&quot;  &quot;@"/>
    <numFmt numFmtId="173" formatCode="_(* #,##0,_);[Red]_(* \(#,##0,\);_(@_)"/>
    <numFmt numFmtId="174" formatCode="dd\ mmm\ yyyy_);;;&quot;  &quot;@"/>
    <numFmt numFmtId="175" formatCode="#,##0_);\(#,##0\);&quot;- &quot;;&quot;  &quot;@"/>
    <numFmt numFmtId="176" formatCode="#,##0%_);[Red]\(#,##0%\)"/>
    <numFmt numFmtId="177" formatCode="#\ &quot;per city&quot;"/>
    <numFmt numFmtId="178" formatCode="_(&quot;$&quot;* #,##0_);_(&quot;$&quot;* \(#,##0\);_(&quot;$&quot;* &quot;-&quot;??_);_(@_)"/>
    <numFmt numFmtId="179" formatCode="#0.#\ &quot;per city&quot;"/>
    <numFmt numFmtId="180" formatCode="#0.##\ &quot;per contract&quot;"/>
    <numFmt numFmtId="181" formatCode="#0.##\ &quot;per segment&quot;"/>
    <numFmt numFmtId="183" formatCode="&quot;SAR&quot;\ #,###\ &quot;per segment&quot;"/>
    <numFmt numFmtId="184" formatCode="#0.#0\ &quot;per city&quot;"/>
    <numFmt numFmtId="186" formatCode="0.0%"/>
    <numFmt numFmtId="190" formatCode="&quot;USD&quot;\ #,###\ &quot;per trip&quot;"/>
  </numFmts>
  <fonts count="83">
    <font>
      <sz val="10"/>
      <name val="Arial"/>
      <charset val="178"/>
    </font>
    <font>
      <b/>
      <sz val="10"/>
      <name val="Arial"/>
      <family val="2"/>
    </font>
    <font>
      <sz val="10"/>
      <name val="Arial"/>
      <family val="2"/>
    </font>
    <font>
      <b/>
      <sz val="14"/>
      <name val="Times New Roman"/>
      <family val="1"/>
      <charset val="178"/>
    </font>
    <font>
      <sz val="10"/>
      <name val="Times New Roman"/>
      <family val="1"/>
      <charset val="178"/>
    </font>
    <font>
      <b/>
      <sz val="10"/>
      <name val="Times New Roman"/>
      <family val="1"/>
      <charset val="178"/>
    </font>
    <font>
      <sz val="10"/>
      <color indexed="12"/>
      <name val="Times New Roman"/>
      <family val="1"/>
      <charset val="178"/>
    </font>
    <font>
      <sz val="12"/>
      <name val="Times New Roman"/>
      <family val="1"/>
      <charset val="178"/>
    </font>
    <font>
      <b/>
      <sz val="12"/>
      <name val="Times New Roman"/>
      <family val="1"/>
      <charset val="178"/>
    </font>
    <font>
      <sz val="12"/>
      <color indexed="48"/>
      <name val="Times New Roman"/>
      <family val="1"/>
      <charset val="178"/>
    </font>
    <font>
      <sz val="12"/>
      <color indexed="8"/>
      <name val="Times New Roman"/>
      <family val="1"/>
      <charset val="178"/>
    </font>
    <font>
      <b/>
      <sz val="12"/>
      <name val="Times New Roman"/>
      <family val="1"/>
    </font>
    <font>
      <b/>
      <sz val="12"/>
      <color indexed="10"/>
      <name val="Times New Roman"/>
      <family val="1"/>
      <charset val="178"/>
    </font>
    <font>
      <b/>
      <sz val="12"/>
      <color indexed="48"/>
      <name val="Times New Roman"/>
      <family val="1"/>
      <charset val="178"/>
    </font>
    <font>
      <b/>
      <sz val="12"/>
      <color indexed="8"/>
      <name val="Times New Roman"/>
      <family val="1"/>
      <charset val="178"/>
    </font>
    <font>
      <b/>
      <i/>
      <sz val="12"/>
      <name val="Times New Roman"/>
      <family val="1"/>
      <charset val="178"/>
    </font>
    <font>
      <b/>
      <i/>
      <sz val="20"/>
      <name val="Times New Roman"/>
      <family val="1"/>
    </font>
    <font>
      <i/>
      <sz val="20"/>
      <name val="Times New Roman"/>
      <family val="1"/>
    </font>
    <font>
      <b/>
      <i/>
      <sz val="18"/>
      <name val="Times New Roman"/>
      <family val="1"/>
    </font>
    <font>
      <sz val="14"/>
      <name val="WhinneyMurray"/>
      <charset val="178"/>
    </font>
    <font>
      <sz val="10"/>
      <color indexed="8"/>
      <name val="Times New Roman"/>
      <family val="1"/>
      <charset val="178"/>
    </font>
    <font>
      <b/>
      <sz val="10"/>
      <color indexed="8"/>
      <name val="Times New Roman"/>
      <family val="1"/>
    </font>
    <font>
      <b/>
      <sz val="10"/>
      <name val="Times New Roman"/>
      <family val="1"/>
    </font>
    <font>
      <sz val="12"/>
      <name val="Arial"/>
      <family val="2"/>
    </font>
    <font>
      <sz val="10"/>
      <color indexed="48"/>
      <name val="Times New Roman"/>
      <family val="1"/>
      <charset val="178"/>
    </font>
    <font>
      <b/>
      <sz val="10"/>
      <name val="Geneva"/>
      <charset val="178"/>
    </font>
    <font>
      <b/>
      <sz val="11"/>
      <color indexed="10"/>
      <name val="Times New Roman"/>
      <family val="1"/>
    </font>
    <font>
      <sz val="10"/>
      <name val="Geneva"/>
      <charset val="178"/>
    </font>
    <font>
      <b/>
      <sz val="12"/>
      <color indexed="8"/>
      <name val="Times New Roman"/>
      <family val="1"/>
    </font>
    <font>
      <b/>
      <sz val="12"/>
      <name val="Arial"/>
      <family val="2"/>
    </font>
    <font>
      <sz val="10"/>
      <color indexed="10"/>
      <name val="Arial"/>
      <family val="2"/>
      <charset val="178"/>
    </font>
    <font>
      <sz val="10"/>
      <color indexed="48"/>
      <name val="Arial"/>
      <family val="2"/>
      <charset val="178"/>
    </font>
    <font>
      <b/>
      <sz val="10"/>
      <color indexed="48"/>
      <name val="Arial"/>
      <family val="2"/>
      <charset val="178"/>
    </font>
    <font>
      <b/>
      <sz val="12"/>
      <color indexed="9"/>
      <name val="Arial"/>
      <family val="2"/>
      <charset val="178"/>
    </font>
    <font>
      <sz val="12"/>
      <color indexed="48"/>
      <name val="Arial"/>
      <family val="2"/>
      <charset val="178"/>
    </font>
    <font>
      <sz val="12"/>
      <name val="Arial"/>
      <family val="2"/>
      <charset val="178"/>
    </font>
    <font>
      <sz val="12"/>
      <color indexed="9"/>
      <name val="Arial"/>
      <family val="2"/>
      <charset val="178"/>
    </font>
    <font>
      <sz val="12"/>
      <color indexed="10"/>
      <name val="Arial"/>
      <family val="2"/>
      <charset val="178"/>
    </font>
    <font>
      <sz val="12"/>
      <color indexed="30"/>
      <name val="Arial"/>
      <family val="2"/>
      <charset val="178"/>
    </font>
    <font>
      <sz val="10"/>
      <color indexed="48"/>
      <name val="Times New Roman"/>
      <family val="1"/>
    </font>
    <font>
      <sz val="10"/>
      <color indexed="30"/>
      <name val="Times New Roman"/>
      <family val="1"/>
      <charset val="178"/>
    </font>
    <font>
      <sz val="10"/>
      <name val="Arial"/>
      <family val="2"/>
    </font>
    <font>
      <b/>
      <sz val="10"/>
      <name val="Arial"/>
      <family val="2"/>
    </font>
    <font>
      <b/>
      <sz val="12"/>
      <name val="Times New Roman"/>
      <family val="1"/>
    </font>
    <font>
      <b/>
      <sz val="10"/>
      <name val="Times New Roman"/>
      <family val="1"/>
    </font>
    <font>
      <sz val="10"/>
      <name val="Times New Roman"/>
      <family val="1"/>
    </font>
    <font>
      <b/>
      <sz val="14"/>
      <name val="Times New Roman"/>
      <family val="1"/>
    </font>
    <font>
      <sz val="12"/>
      <name val="Times New Roman"/>
      <family val="1"/>
    </font>
    <font>
      <sz val="14"/>
      <name val="Times New Roman"/>
      <family val="1"/>
    </font>
    <font>
      <sz val="10"/>
      <color indexed="8"/>
      <name val="Times New Roman"/>
      <family val="1"/>
    </font>
    <font>
      <i/>
      <sz val="10"/>
      <name val="Times New Roman"/>
      <family val="1"/>
    </font>
    <font>
      <u/>
      <sz val="10"/>
      <name val="Times New Roman"/>
      <family val="1"/>
    </font>
    <font>
      <b/>
      <u/>
      <sz val="10"/>
      <name val="Times New Roman"/>
      <family val="1"/>
    </font>
    <font>
      <sz val="10"/>
      <name val="Arial"/>
      <family val="2"/>
      <charset val="178"/>
    </font>
    <font>
      <sz val="10"/>
      <name val="Verdana"/>
      <family val="2"/>
    </font>
    <font>
      <b/>
      <sz val="14"/>
      <color indexed="9"/>
      <name val="Times New Roman"/>
      <family val="1"/>
    </font>
    <font>
      <sz val="8"/>
      <name val="Arial"/>
      <family val="2"/>
    </font>
    <font>
      <b/>
      <sz val="20"/>
      <name val="Times New Roman"/>
      <family val="1"/>
    </font>
    <font>
      <b/>
      <i/>
      <sz val="24"/>
      <color indexed="39"/>
      <name val="Times New Roman"/>
      <family val="1"/>
    </font>
    <font>
      <b/>
      <sz val="14"/>
      <color indexed="30"/>
      <name val="Times New Roman"/>
      <family val="1"/>
    </font>
    <font>
      <b/>
      <u/>
      <sz val="10"/>
      <name val="Arial"/>
      <family val="2"/>
    </font>
    <font>
      <b/>
      <i/>
      <sz val="10"/>
      <name val="Arial"/>
      <family val="2"/>
    </font>
    <font>
      <sz val="10"/>
      <name val="Arial"/>
      <family val="2"/>
    </font>
    <font>
      <b/>
      <i/>
      <sz val="16"/>
      <name val="Times New Roman"/>
      <family val="1"/>
    </font>
    <font>
      <i/>
      <sz val="12"/>
      <name val="Times New Roman"/>
      <family val="1"/>
    </font>
    <font>
      <i/>
      <sz val="10"/>
      <name val="Arial"/>
      <family val="2"/>
    </font>
    <font>
      <sz val="12"/>
      <color indexed="8"/>
      <name val="Times New Roman"/>
      <family val="1"/>
    </font>
    <font>
      <sz val="10"/>
      <color rgb="FF00B0F0"/>
      <name val="Arial"/>
      <family val="2"/>
    </font>
    <font>
      <sz val="12"/>
      <color theme="1"/>
      <name val="Times New Roman"/>
      <family val="1"/>
      <charset val="178"/>
    </font>
    <font>
      <sz val="10"/>
      <color rgb="FF0070C0"/>
      <name val="Times New Roman"/>
      <family val="1"/>
      <charset val="178"/>
    </font>
    <font>
      <sz val="10"/>
      <color theme="8"/>
      <name val="Arial"/>
      <family val="2"/>
    </font>
    <font>
      <sz val="12"/>
      <color theme="8"/>
      <name val="Times New Roman"/>
      <family val="1"/>
      <charset val="178"/>
    </font>
    <font>
      <sz val="12"/>
      <color rgb="FF0070C0"/>
      <name val="Times New Roman"/>
      <family val="1"/>
      <charset val="178"/>
    </font>
    <font>
      <sz val="12"/>
      <color rgb="FF0070C0"/>
      <name val="Arial"/>
      <family val="2"/>
    </font>
    <font>
      <sz val="10"/>
      <color rgb="FF0070C0"/>
      <name val="Arial"/>
      <family val="2"/>
    </font>
    <font>
      <sz val="10"/>
      <color rgb="FFFF0000"/>
      <name val="Arial"/>
      <family val="2"/>
    </font>
    <font>
      <sz val="10"/>
      <color theme="0" tint="-0.249977111117893"/>
      <name val="Times New Roman"/>
      <family val="1"/>
    </font>
    <font>
      <sz val="10"/>
      <color theme="0" tint="-0.249977111117893"/>
      <name val="Times New Roman"/>
      <family val="1"/>
      <charset val="178"/>
    </font>
    <font>
      <sz val="12"/>
      <color theme="4"/>
      <name val="Times New Roman"/>
      <family val="1"/>
      <charset val="178"/>
    </font>
    <font>
      <sz val="10"/>
      <color theme="4"/>
      <name val="Arial"/>
      <family val="2"/>
    </font>
    <font>
      <sz val="10"/>
      <color theme="3" tint="0.39997558519241921"/>
      <name val="Arial"/>
      <family val="2"/>
    </font>
    <font>
      <sz val="12"/>
      <color theme="3" tint="0.39997558519241921"/>
      <name val="Times New Roman"/>
      <family val="1"/>
      <charset val="178"/>
    </font>
    <font>
      <sz val="10"/>
      <color theme="0" tint="-4.9989318521683403E-2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indexed="63"/>
        <bgColor indexed="64"/>
      </patternFill>
    </fill>
    <fill>
      <patternFill patternType="solid">
        <fgColor indexed="14"/>
      </patternFill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mediumGray"/>
    </fill>
    <fill>
      <patternFill patternType="lightGray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</fills>
  <borders count="58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ck">
        <color indexed="64"/>
      </top>
      <bottom/>
      <diagonal/>
    </border>
  </borders>
  <cellStyleXfs count="27">
    <xf numFmtId="0" fontId="0" fillId="0" borderId="0"/>
    <xf numFmtId="172" fontId="2" fillId="0" borderId="0" applyFont="0" applyFill="0" applyBorder="0" applyAlignment="0" applyProtection="0"/>
    <xf numFmtId="0" fontId="55" fillId="2" borderId="0" applyBorder="0" applyProtection="0">
      <alignment horizontal="center"/>
    </xf>
    <xf numFmtId="43" fontId="2" fillId="0" borderId="0" applyFont="0" applyFill="0" applyBorder="0" applyAlignment="0" applyProtection="0"/>
    <xf numFmtId="173" fontId="45" fillId="0" borderId="0" applyFont="0" applyFill="0" applyBorder="0" applyAlignment="0" applyProtection="0"/>
    <xf numFmtId="38" fontId="23" fillId="0" borderId="0" applyFont="0" applyFill="0" applyBorder="0" applyAlignment="0" applyProtection="0"/>
    <xf numFmtId="44" fontId="62" fillId="0" borderId="0" applyFont="0" applyFill="0" applyBorder="0" applyAlignment="0" applyProtection="0"/>
    <xf numFmtId="6" fontId="23" fillId="0" borderId="0" applyFont="0" applyFill="0" applyBorder="0" applyAlignment="0" applyProtection="0"/>
    <xf numFmtId="174" fontId="2" fillId="0" borderId="0" applyFont="0" applyFill="0" applyBorder="0" applyAlignment="0" applyProtection="0"/>
    <xf numFmtId="175" fontId="1" fillId="3" borderId="0" applyNumberFormat="0" applyBorder="0" applyAlignment="0" applyProtection="0"/>
    <xf numFmtId="38" fontId="54" fillId="0" borderId="0"/>
    <xf numFmtId="38" fontId="11" fillId="0" borderId="1" applyFill="0" applyProtection="0"/>
    <xf numFmtId="38" fontId="54" fillId="0" borderId="0" applyFill="0" applyBorder="0" applyProtection="0"/>
    <xf numFmtId="176" fontId="47" fillId="0" borderId="0" applyFill="0" applyBorder="0" applyAlignment="0" applyProtection="0"/>
    <xf numFmtId="176" fontId="11" fillId="0" borderId="1" applyFill="0" applyBorder="0" applyProtection="0"/>
    <xf numFmtId="38" fontId="56" fillId="4" borderId="0" applyNumberFormat="0" applyBorder="0" applyAlignment="0" applyProtection="0"/>
    <xf numFmtId="0" fontId="5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9" fontId="47" fillId="5" borderId="0" applyNumberFormat="0" applyProtection="0"/>
    <xf numFmtId="0" fontId="2" fillId="0" borderId="0"/>
    <xf numFmtId="0" fontId="47" fillId="0" borderId="0"/>
    <xf numFmtId="0" fontId="7" fillId="0" borderId="0"/>
    <xf numFmtId="9" fontId="2" fillId="0" borderId="0" applyFont="0" applyFill="0" applyBorder="0" applyAlignment="0" applyProtection="0"/>
    <xf numFmtId="0" fontId="58" fillId="0" borderId="2" applyFill="0" applyBorder="0" applyProtection="0"/>
    <xf numFmtId="0" fontId="59" fillId="0" borderId="0" applyFill="0" applyBorder="0" applyProtection="0"/>
    <xf numFmtId="0" fontId="47" fillId="0" borderId="0" applyNumberFormat="0" applyFont="0" applyFill="0" applyBorder="0" applyAlignment="0" applyProtection="0"/>
    <xf numFmtId="0" fontId="11" fillId="0" borderId="3" applyFill="0" applyProtection="0"/>
  </cellStyleXfs>
  <cellXfs count="470">
    <xf numFmtId="0" fontId="0" fillId="0" borderId="0" xfId="0"/>
    <xf numFmtId="0" fontId="3" fillId="0" borderId="2" xfId="0" applyFont="1" applyBorder="1"/>
    <xf numFmtId="0" fontId="4" fillId="0" borderId="2" xfId="0" applyFont="1" applyBorder="1"/>
    <xf numFmtId="0" fontId="4" fillId="0" borderId="0" xfId="0" applyFont="1"/>
    <xf numFmtId="0" fontId="5" fillId="0" borderId="4" xfId="0" applyFont="1" applyBorder="1"/>
    <xf numFmtId="0" fontId="6" fillId="0" borderId="0" xfId="0" applyFont="1" applyAlignment="1">
      <alignment horizontal="left"/>
    </xf>
    <xf numFmtId="18" fontId="6" fillId="0" borderId="0" xfId="0" applyNumberFormat="1" applyFont="1" applyAlignment="1">
      <alignment horizontal="left"/>
    </xf>
    <xf numFmtId="37" fontId="7" fillId="0" borderId="0" xfId="0" applyNumberFormat="1" applyFont="1"/>
    <xf numFmtId="37" fontId="8" fillId="0" borderId="0" xfId="0" applyNumberFormat="1" applyFont="1"/>
    <xf numFmtId="0" fontId="7" fillId="0" borderId="0" xfId="0" applyFont="1"/>
    <xf numFmtId="37" fontId="9" fillId="0" borderId="0" xfId="0" applyNumberFormat="1" applyFont="1" applyProtection="1">
      <protection locked="0"/>
    </xf>
    <xf numFmtId="41" fontId="10" fillId="0" borderId="0" xfId="0" applyNumberFormat="1" applyFont="1" applyProtection="1">
      <protection locked="0"/>
    </xf>
    <xf numFmtId="37" fontId="7" fillId="0" borderId="1" xfId="0" applyNumberFormat="1" applyFont="1" applyBorder="1"/>
    <xf numFmtId="37" fontId="7" fillId="0" borderId="0" xfId="0" applyNumberFormat="1" applyFont="1" applyBorder="1"/>
    <xf numFmtId="0" fontId="7" fillId="0" borderId="0" xfId="0" applyNumberFormat="1" applyFont="1" applyBorder="1" applyAlignment="1">
      <alignment horizontal="center"/>
    </xf>
    <xf numFmtId="9" fontId="9" fillId="0" borderId="0" xfId="0" applyNumberFormat="1" applyFont="1" applyBorder="1"/>
    <xf numFmtId="9" fontId="9" fillId="0" borderId="0" xfId="22" applyFont="1" applyBorder="1" applyAlignment="1"/>
    <xf numFmtId="9" fontId="9" fillId="0" borderId="2" xfId="0" applyNumberFormat="1" applyFont="1" applyBorder="1" applyAlignment="1"/>
    <xf numFmtId="0" fontId="7" fillId="0" borderId="0" xfId="0" applyNumberFormat="1" applyFont="1" applyBorder="1" applyAlignment="1">
      <alignment horizontal="left"/>
    </xf>
    <xf numFmtId="37" fontId="7" fillId="6" borderId="0" xfId="0" applyNumberFormat="1" applyFont="1" applyFill="1" applyBorder="1"/>
    <xf numFmtId="165" fontId="7" fillId="6" borderId="0" xfId="0" applyNumberFormat="1" applyFont="1" applyFill="1" applyBorder="1"/>
    <xf numFmtId="41" fontId="10" fillId="0" borderId="0" xfId="0" applyNumberFormat="1" applyFont="1" applyBorder="1" applyProtection="1">
      <protection locked="0"/>
    </xf>
    <xf numFmtId="41" fontId="7" fillId="0" borderId="5" xfId="0" applyNumberFormat="1" applyFont="1" applyFill="1" applyBorder="1" applyProtection="1">
      <protection locked="0"/>
    </xf>
    <xf numFmtId="41" fontId="7" fillId="0" borderId="6" xfId="0" applyNumberFormat="1" applyFont="1" applyFill="1" applyBorder="1" applyProtection="1">
      <protection locked="0"/>
    </xf>
    <xf numFmtId="41" fontId="7" fillId="0" borderId="0" xfId="0" applyNumberFormat="1" applyFont="1" applyFill="1" applyBorder="1" applyProtection="1">
      <protection locked="0"/>
    </xf>
    <xf numFmtId="41" fontId="7" fillId="0" borderId="7" xfId="0" applyNumberFormat="1" applyFont="1" applyFill="1" applyBorder="1" applyProtection="1">
      <protection locked="0"/>
    </xf>
    <xf numFmtId="41" fontId="8" fillId="0" borderId="2" xfId="0" applyNumberFormat="1" applyFont="1" applyFill="1" applyBorder="1" applyProtection="1">
      <protection locked="0"/>
    </xf>
    <xf numFmtId="41" fontId="8" fillId="0" borderId="8" xfId="0" applyNumberFormat="1" applyFont="1" applyFill="1" applyBorder="1" applyProtection="1">
      <protection locked="0"/>
    </xf>
    <xf numFmtId="37" fontId="7" fillId="7" borderId="0" xfId="0" applyNumberFormat="1" applyFont="1" applyFill="1"/>
    <xf numFmtId="37" fontId="7" fillId="7" borderId="0" xfId="0" applyNumberFormat="1" applyFont="1" applyFill="1" applyBorder="1"/>
    <xf numFmtId="37" fontId="12" fillId="0" borderId="0" xfId="0" applyNumberFormat="1" applyFont="1"/>
    <xf numFmtId="37" fontId="9" fillId="0" borderId="0" xfId="0" applyNumberFormat="1" applyFont="1"/>
    <xf numFmtId="0" fontId="12" fillId="6" borderId="0" xfId="0" applyNumberFormat="1" applyFont="1" applyFill="1"/>
    <xf numFmtId="0" fontId="7" fillId="6" borderId="0" xfId="0" applyNumberFormat="1" applyFont="1" applyFill="1" applyBorder="1"/>
    <xf numFmtId="37" fontId="12" fillId="0" borderId="0" xfId="0" applyNumberFormat="1" applyFont="1" applyAlignment="1">
      <alignment wrapText="1"/>
    </xf>
    <xf numFmtId="38" fontId="7" fillId="0" borderId="0" xfId="0" applyNumberFormat="1" applyFont="1"/>
    <xf numFmtId="37" fontId="13" fillId="0" borderId="9" xfId="0" applyNumberFormat="1" applyFont="1" applyBorder="1"/>
    <xf numFmtId="10" fontId="7" fillId="0" borderId="0" xfId="0" applyNumberFormat="1" applyFont="1"/>
    <xf numFmtId="38" fontId="7" fillId="0" borderId="0" xfId="0" applyNumberFormat="1" applyFont="1" applyBorder="1"/>
    <xf numFmtId="38" fontId="7" fillId="0" borderId="1" xfId="0" applyNumberFormat="1" applyFont="1" applyBorder="1"/>
    <xf numFmtId="15" fontId="6" fillId="0" borderId="0" xfId="0" applyNumberFormat="1" applyFont="1" applyAlignment="1">
      <alignment horizontal="left"/>
    </xf>
    <xf numFmtId="164" fontId="14" fillId="0" borderId="10" xfId="0" applyNumberFormat="1" applyFont="1" applyBorder="1" applyProtection="1">
      <protection locked="0"/>
    </xf>
    <xf numFmtId="0" fontId="14" fillId="0" borderId="10" xfId="0" applyNumberFormat="1" applyFont="1" applyBorder="1" applyProtection="1">
      <protection locked="0"/>
    </xf>
    <xf numFmtId="0" fontId="14" fillId="0" borderId="11" xfId="0" applyNumberFormat="1" applyFont="1" applyBorder="1" applyProtection="1">
      <protection locked="0"/>
    </xf>
    <xf numFmtId="41" fontId="14" fillId="0" borderId="0" xfId="0" applyNumberFormat="1" applyFont="1" applyBorder="1" applyProtection="1">
      <protection locked="0"/>
    </xf>
    <xf numFmtId="41" fontId="14" fillId="0" borderId="7" xfId="0" applyNumberFormat="1" applyFont="1" applyBorder="1" applyProtection="1">
      <protection locked="0"/>
    </xf>
    <xf numFmtId="0" fontId="8" fillId="0" borderId="0" xfId="0" applyNumberFormat="1" applyFont="1" applyBorder="1" applyAlignment="1">
      <alignment horizontal="center"/>
    </xf>
    <xf numFmtId="164" fontId="8" fillId="0" borderId="0" xfId="3" applyNumberFormat="1" applyFont="1" applyBorder="1"/>
    <xf numFmtId="38" fontId="8" fillId="0" borderId="0" xfId="0" applyNumberFormat="1" applyFont="1"/>
    <xf numFmtId="38" fontId="8" fillId="0" borderId="1" xfId="0" applyNumberFormat="1" applyFont="1" applyBorder="1"/>
    <xf numFmtId="38" fontId="15" fillId="0" borderId="0" xfId="0" applyNumberFormat="1" applyFont="1"/>
    <xf numFmtId="0" fontId="7" fillId="0" borderId="12" xfId="0" applyFont="1" applyBorder="1"/>
    <xf numFmtId="0" fontId="7" fillId="0" borderId="10" xfId="0" applyFont="1" applyBorder="1" applyAlignment="1">
      <alignment wrapText="1"/>
    </xf>
    <xf numFmtId="0" fontId="7" fillId="0" borderId="13" xfId="0" applyFont="1" applyBorder="1"/>
    <xf numFmtId="0" fontId="7" fillId="0" borderId="0" xfId="0" applyFont="1" applyBorder="1"/>
    <xf numFmtId="0" fontId="8" fillId="0" borderId="0" xfId="0" applyFont="1" applyFill="1" applyBorder="1"/>
    <xf numFmtId="164" fontId="8" fillId="0" borderId="0" xfId="0" applyNumberFormat="1" applyFont="1"/>
    <xf numFmtId="0" fontId="7" fillId="0" borderId="0" xfId="0" applyFont="1" applyFill="1" applyBorder="1"/>
    <xf numFmtId="0" fontId="8" fillId="6" borderId="0" xfId="0" applyFont="1" applyFill="1" applyBorder="1"/>
    <xf numFmtId="0" fontId="8" fillId="0" borderId="14" xfId="0" applyFont="1" applyFill="1" applyBorder="1"/>
    <xf numFmtId="0" fontId="8" fillId="0" borderId="5" xfId="0" applyFont="1" applyFill="1" applyBorder="1"/>
    <xf numFmtId="0" fontId="8" fillId="0" borderId="13" xfId="0" applyFont="1" applyFill="1" applyBorder="1"/>
    <xf numFmtId="0" fontId="8" fillId="0" borderId="15" xfId="0" applyFont="1" applyFill="1" applyBorder="1"/>
    <xf numFmtId="0" fontId="8" fillId="0" borderId="2" xfId="0" applyFont="1" applyFill="1" applyBorder="1"/>
    <xf numFmtId="0" fontId="17" fillId="0" borderId="0" xfId="0" applyFont="1"/>
    <xf numFmtId="0" fontId="11" fillId="0" borderId="0" xfId="0" applyFont="1"/>
    <xf numFmtId="0" fontId="3" fillId="0" borderId="0" xfId="0" applyFont="1"/>
    <xf numFmtId="0" fontId="16" fillId="0" borderId="2" xfId="0" applyFont="1" applyBorder="1"/>
    <xf numFmtId="15" fontId="3" fillId="0" borderId="0" xfId="0" applyNumberFormat="1" applyFont="1"/>
    <xf numFmtId="18" fontId="3" fillId="0" borderId="0" xfId="0" applyNumberFormat="1" applyFont="1"/>
    <xf numFmtId="38" fontId="7" fillId="0" borderId="2" xfId="0" applyNumberFormat="1" applyFont="1" applyBorder="1"/>
    <xf numFmtId="38" fontId="18" fillId="0" borderId="0" xfId="0" applyNumberFormat="1" applyFont="1" applyBorder="1"/>
    <xf numFmtId="38" fontId="19" fillId="0" borderId="0" xfId="0" applyNumberFormat="1" applyFont="1" applyBorder="1" applyAlignment="1">
      <alignment horizontal="right"/>
    </xf>
    <xf numFmtId="38" fontId="7" fillId="0" borderId="0" xfId="0" applyNumberFormat="1" applyFont="1" applyBorder="1" applyAlignment="1">
      <alignment horizontal="right"/>
    </xf>
    <xf numFmtId="0" fontId="4" fillId="0" borderId="0" xfId="21" applyFont="1" applyAlignment="1">
      <alignment horizontal="left"/>
    </xf>
    <xf numFmtId="166" fontId="4" fillId="0" borderId="0" xfId="21" applyNumberFormat="1" applyFont="1" applyProtection="1"/>
    <xf numFmtId="0" fontId="4" fillId="0" borderId="0" xfId="21" applyFont="1"/>
    <xf numFmtId="166" fontId="4" fillId="0" borderId="0" xfId="21" applyNumberFormat="1" applyFont="1" applyAlignment="1" applyProtection="1">
      <alignment horizontal="right"/>
    </xf>
    <xf numFmtId="166" fontId="4" fillId="0" borderId="0" xfId="21" applyNumberFormat="1" applyFont="1" applyAlignment="1" applyProtection="1">
      <alignment horizontal="left"/>
    </xf>
    <xf numFmtId="3" fontId="0" fillId="0" borderId="0" xfId="0" applyNumberFormat="1"/>
    <xf numFmtId="166" fontId="20" fillId="0" borderId="0" xfId="21" applyNumberFormat="1" applyFont="1" applyAlignment="1" applyProtection="1">
      <alignment horizontal="left"/>
    </xf>
    <xf numFmtId="43" fontId="4" fillId="0" borderId="0" xfId="21" applyNumberFormat="1" applyFont="1" applyBorder="1" applyProtection="1"/>
    <xf numFmtId="0" fontId="4" fillId="0" borderId="0" xfId="21" applyFont="1" applyAlignment="1">
      <alignment horizontal="right"/>
    </xf>
    <xf numFmtId="9" fontId="24" fillId="0" borderId="0" xfId="22" applyFont="1" applyAlignment="1" applyProtection="1">
      <alignment horizontal="center"/>
    </xf>
    <xf numFmtId="0" fontId="4" fillId="0" borderId="0" xfId="21" applyFont="1" applyAlignment="1"/>
    <xf numFmtId="0" fontId="8" fillId="0" borderId="1" xfId="0" applyFont="1" applyBorder="1" applyAlignment="1">
      <alignment horizontal="center"/>
    </xf>
    <xf numFmtId="0" fontId="16" fillId="0" borderId="2" xfId="0" applyFont="1" applyBorder="1" applyAlignment="1">
      <alignment horizontal="right"/>
    </xf>
    <xf numFmtId="3" fontId="4" fillId="0" borderId="0" xfId="0" applyNumberFormat="1" applyFont="1"/>
    <xf numFmtId="37" fontId="22" fillId="0" borderId="1" xfId="0" applyNumberFormat="1" applyFont="1" applyBorder="1"/>
    <xf numFmtId="3" fontId="5" fillId="0" borderId="0" xfId="0" applyNumberFormat="1" applyFont="1"/>
    <xf numFmtId="37" fontId="4" fillId="0" borderId="0" xfId="0" applyNumberFormat="1" applyFont="1"/>
    <xf numFmtId="43" fontId="6" fillId="0" borderId="0" xfId="21" applyNumberFormat="1" applyFont="1" applyBorder="1" applyProtection="1">
      <protection locked="0"/>
    </xf>
    <xf numFmtId="37" fontId="5" fillId="0" borderId="1" xfId="0" applyNumberFormat="1" applyFont="1" applyBorder="1"/>
    <xf numFmtId="37" fontId="0" fillId="0" borderId="0" xfId="0" applyNumberFormat="1" applyAlignment="1">
      <alignment horizontal="center"/>
    </xf>
    <xf numFmtId="37" fontId="5" fillId="0" borderId="0" xfId="0" applyNumberFormat="1" applyFont="1"/>
    <xf numFmtId="3" fontId="22" fillId="0" borderId="0" xfId="0" applyNumberFormat="1" applyFont="1"/>
    <xf numFmtId="164" fontId="5" fillId="0" borderId="0" xfId="3" applyNumberFormat="1" applyFont="1" applyAlignment="1">
      <alignment horizontal="center"/>
    </xf>
    <xf numFmtId="37" fontId="5" fillId="0" borderId="1" xfId="0" applyNumberFormat="1" applyFont="1" applyBorder="1" applyAlignment="1">
      <alignment horizontal="center"/>
    </xf>
    <xf numFmtId="37" fontId="25" fillId="0" borderId="0" xfId="0" applyNumberFormat="1" applyFont="1" applyBorder="1"/>
    <xf numFmtId="38" fontId="26" fillId="0" borderId="0" xfId="0" applyNumberFormat="1" applyFont="1"/>
    <xf numFmtId="37" fontId="27" fillId="0" borderId="0" xfId="0" applyNumberFormat="1" applyFont="1" applyAlignment="1">
      <alignment horizontal="right"/>
    </xf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23" fillId="0" borderId="0" xfId="0" applyFont="1"/>
    <xf numFmtId="0" fontId="29" fillId="0" borderId="0" xfId="0" applyFont="1"/>
    <xf numFmtId="41" fontId="28" fillId="0" borderId="1" xfId="0" applyNumberFormat="1" applyFont="1" applyBorder="1" applyProtection="1">
      <protection locked="0"/>
    </xf>
    <xf numFmtId="0" fontId="23" fillId="6" borderId="0" xfId="0" applyFont="1" applyFill="1"/>
    <xf numFmtId="3" fontId="8" fillId="0" borderId="0" xfId="0" applyNumberFormat="1" applyFont="1"/>
    <xf numFmtId="3" fontId="7" fillId="0" borderId="0" xfId="0" applyNumberFormat="1" applyFont="1"/>
    <xf numFmtId="3" fontId="11" fillId="0" borderId="0" xfId="0" applyNumberFormat="1" applyFont="1"/>
    <xf numFmtId="3" fontId="14" fillId="0" borderId="0" xfId="0" applyNumberFormat="1" applyFont="1"/>
    <xf numFmtId="0" fontId="7" fillId="0" borderId="0" xfId="0" applyFont="1" applyBorder="1" applyAlignment="1"/>
    <xf numFmtId="0" fontId="0" fillId="0" borderId="0" xfId="0" applyAlignment="1"/>
    <xf numFmtId="0" fontId="11" fillId="0" borderId="0" xfId="0" applyFont="1" applyBorder="1" applyAlignment="1"/>
    <xf numFmtId="41" fontId="28" fillId="0" borderId="1" xfId="0" applyNumberFormat="1" applyFont="1" applyBorder="1" applyAlignment="1" applyProtection="1">
      <protection locked="0"/>
    </xf>
    <xf numFmtId="0" fontId="30" fillId="0" borderId="0" xfId="0" applyFont="1"/>
    <xf numFmtId="3" fontId="11" fillId="0" borderId="0" xfId="0" applyNumberFormat="1" applyFont="1" applyAlignment="1">
      <alignment horizontal="center"/>
    </xf>
    <xf numFmtId="0" fontId="31" fillId="0" borderId="0" xfId="0" applyFont="1" applyAlignment="1">
      <alignment horizontal="center"/>
    </xf>
    <xf numFmtId="1" fontId="4" fillId="0" borderId="0" xfId="21" applyNumberFormat="1" applyFont="1" applyBorder="1" applyAlignment="1" applyProtection="1">
      <alignment horizontal="center"/>
    </xf>
    <xf numFmtId="1" fontId="31" fillId="0" borderId="0" xfId="0" applyNumberFormat="1" applyFont="1" applyAlignment="1">
      <alignment horizontal="center"/>
    </xf>
    <xf numFmtId="3" fontId="11" fillId="0" borderId="1" xfId="0" applyNumberFormat="1" applyFont="1" applyBorder="1" applyAlignment="1">
      <alignment horizontal="center"/>
    </xf>
    <xf numFmtId="1" fontId="11" fillId="0" borderId="0" xfId="0" applyNumberFormat="1" applyFont="1"/>
    <xf numFmtId="1" fontId="8" fillId="0" borderId="0" xfId="0" applyNumberFormat="1" applyFont="1"/>
    <xf numFmtId="3" fontId="7" fillId="0" borderId="0" xfId="0" applyNumberFormat="1" applyFont="1" applyBorder="1"/>
    <xf numFmtId="9" fontId="31" fillId="0" borderId="16" xfId="22" applyFont="1" applyBorder="1" applyAlignment="1">
      <alignment horizontal="center"/>
    </xf>
    <xf numFmtId="1" fontId="11" fillId="0" borderId="1" xfId="0" applyNumberFormat="1" applyFont="1" applyBorder="1" applyAlignment="1">
      <alignment horizontal="center"/>
    </xf>
    <xf numFmtId="9" fontId="7" fillId="0" borderId="0" xfId="0" applyNumberFormat="1" applyFont="1" applyBorder="1"/>
    <xf numFmtId="38" fontId="7" fillId="0" borderId="0" xfId="0" applyNumberFormat="1" applyFont="1" applyBorder="1" applyProtection="1">
      <protection locked="0"/>
    </xf>
    <xf numFmtId="38" fontId="11" fillId="0" borderId="1" xfId="0" applyNumberFormat="1" applyFont="1" applyBorder="1"/>
    <xf numFmtId="0" fontId="11" fillId="0" borderId="14" xfId="0" applyNumberFormat="1" applyFont="1" applyBorder="1" applyAlignment="1">
      <alignment wrapText="1"/>
    </xf>
    <xf numFmtId="0" fontId="11" fillId="0" borderId="5" xfId="0" applyNumberFormat="1" applyFont="1" applyBorder="1" applyAlignment="1">
      <alignment wrapText="1"/>
    </xf>
    <xf numFmtId="0" fontId="11" fillId="0" borderId="6" xfId="0" applyNumberFormat="1" applyFont="1" applyBorder="1" applyAlignment="1">
      <alignment horizontal="center" wrapText="1"/>
    </xf>
    <xf numFmtId="0" fontId="33" fillId="0" borderId="0" xfId="0" applyFont="1" applyAlignment="1">
      <alignment wrapText="1"/>
    </xf>
    <xf numFmtId="0" fontId="34" fillId="0" borderId="13" xfId="0" applyFont="1" applyFill="1" applyBorder="1"/>
    <xf numFmtId="0" fontId="34" fillId="0" borderId="0" xfId="0" applyFont="1" applyFill="1" applyBorder="1"/>
    <xf numFmtId="0" fontId="34" fillId="0" borderId="0" xfId="0" applyFont="1" applyFill="1" applyBorder="1" applyAlignment="1">
      <alignment horizontal="center"/>
    </xf>
    <xf numFmtId="9" fontId="34" fillId="0" borderId="7" xfId="22" applyFont="1" applyFill="1" applyBorder="1"/>
    <xf numFmtId="0" fontId="35" fillId="0" borderId="0" xfId="0" applyFont="1"/>
    <xf numFmtId="0" fontId="36" fillId="0" borderId="0" xfId="0" applyFont="1"/>
    <xf numFmtId="9" fontId="34" fillId="0" borderId="17" xfId="22" applyFont="1" applyFill="1" applyBorder="1"/>
    <xf numFmtId="9" fontId="37" fillId="0" borderId="0" xfId="22" applyFont="1"/>
    <xf numFmtId="9" fontId="23" fillId="0" borderId="0" xfId="22" applyFont="1"/>
    <xf numFmtId="167" fontId="23" fillId="0" borderId="0" xfId="0" applyNumberFormat="1" applyFont="1"/>
    <xf numFmtId="0" fontId="34" fillId="0" borderId="0" xfId="0" applyFont="1"/>
    <xf numFmtId="3" fontId="0" fillId="0" borderId="0" xfId="0" applyNumberFormat="1" applyFill="1"/>
    <xf numFmtId="37" fontId="0" fillId="0" borderId="0" xfId="0" applyNumberFormat="1" applyFill="1"/>
    <xf numFmtId="3" fontId="1" fillId="0" borderId="0" xfId="0" applyNumberFormat="1" applyFont="1" applyFill="1"/>
    <xf numFmtId="3" fontId="0" fillId="0" borderId="1" xfId="0" applyNumberFormat="1" applyFill="1" applyBorder="1"/>
    <xf numFmtId="0" fontId="0" fillId="0" borderId="0" xfId="0" applyFill="1"/>
    <xf numFmtId="3" fontId="31" fillId="0" borderId="0" xfId="0" applyNumberFormat="1" applyFont="1" applyFill="1" applyProtection="1">
      <protection locked="0"/>
    </xf>
    <xf numFmtId="3" fontId="0" fillId="0" borderId="0" xfId="0" applyNumberFormat="1" applyFill="1" applyProtection="1">
      <protection locked="0"/>
    </xf>
    <xf numFmtId="3" fontId="25" fillId="0" borderId="0" xfId="0" applyNumberFormat="1" applyFont="1" applyFill="1"/>
    <xf numFmtId="3" fontId="0" fillId="0" borderId="0" xfId="0" applyNumberFormat="1" applyFill="1" applyAlignment="1">
      <alignment horizontal="center"/>
    </xf>
    <xf numFmtId="3" fontId="0" fillId="0" borderId="0" xfId="0" applyNumberFormat="1" applyFill="1" applyAlignment="1" applyProtection="1">
      <alignment horizontal="center"/>
      <protection locked="0"/>
    </xf>
    <xf numFmtId="3" fontId="25" fillId="0" borderId="16" xfId="0" applyNumberFormat="1" applyFont="1" applyFill="1" applyBorder="1"/>
    <xf numFmtId="1" fontId="0" fillId="0" borderId="0" xfId="0" applyNumberFormat="1" applyFill="1" applyAlignment="1">
      <alignment horizontal="center"/>
    </xf>
    <xf numFmtId="3" fontId="0" fillId="0" borderId="18" xfId="0" applyNumberFormat="1" applyFill="1" applyBorder="1"/>
    <xf numFmtId="10" fontId="2" fillId="0" borderId="0" xfId="22" applyNumberFormat="1" applyFill="1"/>
    <xf numFmtId="10" fontId="0" fillId="0" borderId="0" xfId="0" applyNumberFormat="1" applyFill="1"/>
    <xf numFmtId="3" fontId="25" fillId="0" borderId="1" xfId="0" applyNumberFormat="1" applyFont="1" applyFill="1" applyBorder="1"/>
    <xf numFmtId="1" fontId="23" fillId="0" borderId="0" xfId="22" applyNumberFormat="1" applyFont="1"/>
    <xf numFmtId="2" fontId="23" fillId="0" borderId="0" xfId="0" applyNumberFormat="1" applyFont="1"/>
    <xf numFmtId="169" fontId="34" fillId="0" borderId="0" xfId="0" applyNumberFormat="1" applyFont="1" applyFill="1" applyBorder="1"/>
    <xf numFmtId="40" fontId="23" fillId="0" borderId="0" xfId="0" applyNumberFormat="1" applyFont="1"/>
    <xf numFmtId="2" fontId="0" fillId="0" borderId="0" xfId="0" applyNumberFormat="1"/>
    <xf numFmtId="0" fontId="38" fillId="0" borderId="19" xfId="0" applyFont="1" applyBorder="1"/>
    <xf numFmtId="0" fontId="34" fillId="0" borderId="20" xfId="0" applyFont="1" applyBorder="1"/>
    <xf numFmtId="40" fontId="34" fillId="0" borderId="0" xfId="0" applyNumberFormat="1" applyFont="1"/>
    <xf numFmtId="0" fontId="12" fillId="0" borderId="0" xfId="0" applyFont="1"/>
    <xf numFmtId="3" fontId="40" fillId="0" borderId="0" xfId="0" applyNumberFormat="1" applyFont="1"/>
    <xf numFmtId="0" fontId="41" fillId="0" borderId="0" xfId="0" applyFont="1"/>
    <xf numFmtId="170" fontId="0" fillId="0" borderId="0" xfId="0" applyNumberFormat="1"/>
    <xf numFmtId="9" fontId="0" fillId="0" borderId="0" xfId="0" applyNumberFormat="1"/>
    <xf numFmtId="37" fontId="7" fillId="0" borderId="0" xfId="0" applyNumberFormat="1" applyFont="1" applyAlignment="1"/>
    <xf numFmtId="168" fontId="4" fillId="0" borderId="0" xfId="21" applyNumberFormat="1" applyFont="1" applyBorder="1" applyProtection="1"/>
    <xf numFmtId="9" fontId="67" fillId="0" borderId="0" xfId="0" applyNumberFormat="1" applyFont="1"/>
    <xf numFmtId="168" fontId="7" fillId="0" borderId="0" xfId="21" applyNumberFormat="1" applyFont="1" applyBorder="1" applyProtection="1"/>
    <xf numFmtId="168" fontId="7" fillId="0" borderId="1" xfId="21" applyNumberFormat="1" applyFont="1" applyBorder="1" applyProtection="1"/>
    <xf numFmtId="0" fontId="43" fillId="0" borderId="0" xfId="0" applyFont="1"/>
    <xf numFmtId="168" fontId="20" fillId="0" borderId="0" xfId="21" applyNumberFormat="1" applyFont="1" applyBorder="1" applyProtection="1">
      <protection locked="0"/>
    </xf>
    <xf numFmtId="168" fontId="4" fillId="0" borderId="0" xfId="21" applyNumberFormat="1" applyFont="1" applyBorder="1" applyAlignment="1" applyProtection="1">
      <alignment horizontal="left"/>
    </xf>
    <xf numFmtId="168" fontId="4" fillId="0" borderId="1" xfId="21" applyNumberFormat="1" applyFont="1" applyBorder="1" applyAlignment="1" applyProtection="1"/>
    <xf numFmtId="168" fontId="22" fillId="0" borderId="1" xfId="21" applyNumberFormat="1" applyFont="1" applyBorder="1" applyProtection="1"/>
    <xf numFmtId="168" fontId="4" fillId="0" borderId="0" xfId="21" applyNumberFormat="1" applyFont="1" applyProtection="1"/>
    <xf numFmtId="168" fontId="39" fillId="0" borderId="0" xfId="21" applyNumberFormat="1" applyFont="1" applyBorder="1" applyAlignment="1" applyProtection="1">
      <protection locked="0"/>
    </xf>
    <xf numFmtId="168" fontId="20" fillId="0" borderId="0" xfId="21" applyNumberFormat="1" applyFont="1" applyProtection="1">
      <protection locked="0"/>
    </xf>
    <xf numFmtId="168" fontId="4" fillId="0" borderId="1" xfId="21" applyNumberFormat="1" applyFont="1" applyBorder="1" applyProtection="1"/>
    <xf numFmtId="168" fontId="4" fillId="0" borderId="18" xfId="5" applyNumberFormat="1" applyFont="1" applyBorder="1" applyProtection="1"/>
    <xf numFmtId="168" fontId="4" fillId="0" borderId="0" xfId="21" applyNumberFormat="1" applyFont="1" applyAlignment="1" applyProtection="1">
      <alignment horizontal="center"/>
    </xf>
    <xf numFmtId="168" fontId="22" fillId="0" borderId="21" xfId="7" applyNumberFormat="1" applyFont="1" applyBorder="1" applyProtection="1"/>
    <xf numFmtId="168" fontId="44" fillId="0" borderId="0" xfId="7" applyNumberFormat="1" applyFont="1" applyFill="1" applyBorder="1" applyProtection="1"/>
    <xf numFmtId="9" fontId="44" fillId="0" borderId="0" xfId="7" applyNumberFormat="1" applyFont="1" applyFill="1" applyBorder="1" applyProtection="1"/>
    <xf numFmtId="168" fontId="68" fillId="0" borderId="0" xfId="0" applyNumberFormat="1" applyFont="1" applyBorder="1"/>
    <xf numFmtId="38" fontId="20" fillId="0" borderId="0" xfId="21" applyNumberFormat="1" applyFont="1" applyProtection="1">
      <protection locked="0"/>
    </xf>
    <xf numFmtId="38" fontId="40" fillId="0" borderId="0" xfId="21" applyNumberFormat="1" applyFont="1" applyBorder="1" applyProtection="1">
      <protection locked="0"/>
    </xf>
    <xf numFmtId="38" fontId="20" fillId="0" borderId="0" xfId="21" applyNumberFormat="1" applyFont="1" applyBorder="1" applyProtection="1">
      <protection locked="0"/>
    </xf>
    <xf numFmtId="38" fontId="6" fillId="0" borderId="0" xfId="21" applyNumberFormat="1" applyFont="1" applyBorder="1" applyProtection="1">
      <protection locked="0"/>
    </xf>
    <xf numFmtId="38" fontId="40" fillId="0" borderId="0" xfId="21" applyNumberFormat="1" applyFont="1" applyProtection="1">
      <protection locked="0"/>
    </xf>
    <xf numFmtId="37" fontId="12" fillId="0" borderId="1" xfId="0" applyNumberFormat="1" applyFont="1" applyBorder="1"/>
    <xf numFmtId="0" fontId="7" fillId="0" borderId="1" xfId="0" applyFont="1" applyBorder="1"/>
    <xf numFmtId="37" fontId="8" fillId="0" borderId="1" xfId="0" applyNumberFormat="1" applyFont="1" applyBorder="1"/>
    <xf numFmtId="0" fontId="32" fillId="0" borderId="1" xfId="0" applyFont="1" applyBorder="1"/>
    <xf numFmtId="0" fontId="0" fillId="0" borderId="1" xfId="0" applyBorder="1"/>
    <xf numFmtId="0" fontId="69" fillId="0" borderId="0" xfId="0" applyFont="1"/>
    <xf numFmtId="168" fontId="9" fillId="0" borderId="0" xfId="3" applyNumberFormat="1" applyFont="1" applyBorder="1" applyProtection="1">
      <protection locked="0"/>
    </xf>
    <xf numFmtId="168" fontId="9" fillId="0" borderId="7" xfId="3" applyNumberFormat="1" applyFont="1" applyBorder="1" applyProtection="1">
      <protection locked="0"/>
    </xf>
    <xf numFmtId="168" fontId="9" fillId="0" borderId="0" xfId="3" applyNumberFormat="1" applyFont="1" applyBorder="1" applyAlignment="1">
      <alignment horizontal="right"/>
    </xf>
    <xf numFmtId="168" fontId="9" fillId="0" borderId="0" xfId="3" applyNumberFormat="1" applyFont="1" applyBorder="1"/>
    <xf numFmtId="168" fontId="9" fillId="0" borderId="7" xfId="3" applyNumberFormat="1" applyFont="1" applyBorder="1"/>
    <xf numFmtId="168" fontId="9" fillId="0" borderId="2" xfId="3" applyNumberFormat="1" applyFont="1" applyBorder="1"/>
    <xf numFmtId="168" fontId="9" fillId="0" borderId="8" xfId="3" applyNumberFormat="1" applyFont="1" applyBorder="1"/>
    <xf numFmtId="168" fontId="0" fillId="0" borderId="0" xfId="3" applyNumberFormat="1" applyFont="1"/>
    <xf numFmtId="0" fontId="45" fillId="0" borderId="0" xfId="0" applyFont="1"/>
    <xf numFmtId="0" fontId="46" fillId="0" borderId="0" xfId="0" applyFont="1"/>
    <xf numFmtId="0" fontId="47" fillId="0" borderId="0" xfId="0" applyFont="1"/>
    <xf numFmtId="15" fontId="46" fillId="0" borderId="0" xfId="0" applyNumberFormat="1" applyFont="1"/>
    <xf numFmtId="18" fontId="46" fillId="0" borderId="0" xfId="0" applyNumberFormat="1" applyFont="1"/>
    <xf numFmtId="168" fontId="42" fillId="0" borderId="1" xfId="0" applyNumberFormat="1" applyFont="1" applyBorder="1"/>
    <xf numFmtId="43" fontId="0" fillId="0" borderId="0" xfId="0" applyNumberFormat="1"/>
    <xf numFmtId="9" fontId="7" fillId="0" borderId="0" xfId="0" applyNumberFormat="1" applyFont="1"/>
    <xf numFmtId="0" fontId="6" fillId="0" borderId="0" xfId="21" applyNumberFormat="1" applyFont="1" applyProtection="1">
      <protection locked="0"/>
    </xf>
    <xf numFmtId="0" fontId="40" fillId="0" borderId="0" xfId="21" applyNumberFormat="1" applyFont="1" applyBorder="1" applyProtection="1">
      <protection locked="0"/>
    </xf>
    <xf numFmtId="168" fontId="7" fillId="0" borderId="0" xfId="0" applyNumberFormat="1" applyFont="1"/>
    <xf numFmtId="0" fontId="47" fillId="0" borderId="18" xfId="0" applyFont="1" applyBorder="1"/>
    <xf numFmtId="38" fontId="47" fillId="0" borderId="0" xfId="0" applyNumberFormat="1" applyFont="1" applyBorder="1"/>
    <xf numFmtId="38" fontId="23" fillId="0" borderId="0" xfId="0" applyNumberFormat="1" applyFont="1"/>
    <xf numFmtId="3" fontId="6" fillId="0" borderId="0" xfId="21" applyNumberFormat="1" applyFont="1" applyProtection="1">
      <protection locked="0"/>
    </xf>
    <xf numFmtId="168" fontId="21" fillId="0" borderId="1" xfId="0" applyNumberFormat="1" applyFont="1" applyFill="1" applyBorder="1" applyAlignment="1">
      <alignment horizontal="center"/>
    </xf>
    <xf numFmtId="3" fontId="7" fillId="0" borderId="0" xfId="0" applyNumberFormat="1" applyFont="1" applyFill="1"/>
    <xf numFmtId="168" fontId="45" fillId="0" borderId="0" xfId="0" applyNumberFormat="1" applyFont="1"/>
    <xf numFmtId="38" fontId="47" fillId="0" borderId="0" xfId="0" applyNumberFormat="1" applyFont="1" applyBorder="1" applyAlignment="1">
      <alignment horizontal="right"/>
    </xf>
    <xf numFmtId="38" fontId="48" fillId="0" borderId="0" xfId="0" applyNumberFormat="1" applyFont="1" applyBorder="1" applyAlignment="1">
      <alignment horizontal="right"/>
    </xf>
    <xf numFmtId="0" fontId="22" fillId="0" borderId="0" xfId="0" applyFont="1"/>
    <xf numFmtId="168" fontId="47" fillId="0" borderId="2" xfId="3" applyNumberFormat="1" applyFont="1" applyBorder="1"/>
    <xf numFmtId="168" fontId="22" fillId="0" borderId="0" xfId="3" applyNumberFormat="1" applyFont="1" applyBorder="1"/>
    <xf numFmtId="168" fontId="45" fillId="0" borderId="0" xfId="3" applyNumberFormat="1" applyFont="1" applyBorder="1"/>
    <xf numFmtId="0" fontId="45" fillId="0" borderId="0" xfId="0" applyFont="1" applyAlignment="1">
      <alignment horizontal="left" indent="2"/>
    </xf>
    <xf numFmtId="168" fontId="22" fillId="0" borderId="1" xfId="3" applyNumberFormat="1" applyFont="1" applyBorder="1"/>
    <xf numFmtId="168" fontId="45" fillId="0" borderId="0" xfId="3" applyNumberFormat="1" applyFont="1"/>
    <xf numFmtId="0" fontId="45" fillId="0" borderId="0" xfId="0" applyFont="1" applyAlignment="1">
      <alignment horizontal="left" indent="3"/>
    </xf>
    <xf numFmtId="168" fontId="22" fillId="0" borderId="22" xfId="3" applyNumberFormat="1" applyFont="1" applyBorder="1"/>
    <xf numFmtId="168" fontId="22" fillId="0" borderId="21" xfId="3" applyNumberFormat="1" applyFont="1" applyBorder="1" applyAlignment="1">
      <alignment horizontal="center"/>
    </xf>
    <xf numFmtId="168" fontId="49" fillId="0" borderId="1" xfId="3" applyNumberFormat="1" applyFont="1" applyBorder="1" applyProtection="1">
      <protection locked="0"/>
    </xf>
    <xf numFmtId="0" fontId="22" fillId="0" borderId="0" xfId="0" applyFont="1" applyAlignment="1">
      <alignment horizontal="left" indent="3"/>
    </xf>
    <xf numFmtId="0" fontId="45" fillId="0" borderId="0" xfId="0" applyFont="1" applyAlignment="1">
      <alignment horizontal="left" indent="4"/>
    </xf>
    <xf numFmtId="168" fontId="49" fillId="0" borderId="0" xfId="3" applyNumberFormat="1" applyFont="1" applyBorder="1" applyProtection="1">
      <protection locked="0"/>
    </xf>
    <xf numFmtId="0" fontId="50" fillId="0" borderId="0" xfId="0" applyFont="1" applyAlignment="1">
      <alignment horizontal="left" indent="3"/>
    </xf>
    <xf numFmtId="168" fontId="51" fillId="0" borderId="0" xfId="3" applyNumberFormat="1" applyFont="1"/>
    <xf numFmtId="0" fontId="50" fillId="0" borderId="0" xfId="0" applyFont="1" applyAlignment="1">
      <alignment horizontal="left" indent="2"/>
    </xf>
    <xf numFmtId="0" fontId="22" fillId="0" borderId="0" xfId="0" applyFont="1" applyAlignment="1">
      <alignment horizontal="left" indent="1"/>
    </xf>
    <xf numFmtId="168" fontId="49" fillId="0" borderId="0" xfId="3" applyNumberFormat="1" applyFont="1" applyProtection="1">
      <protection locked="0"/>
    </xf>
    <xf numFmtId="0" fontId="11" fillId="0" borderId="1" xfId="0" applyFont="1" applyBorder="1" applyAlignment="1">
      <alignment horizontal="center"/>
    </xf>
    <xf numFmtId="4" fontId="45" fillId="0" borderId="0" xfId="0" applyNumberFormat="1" applyFont="1"/>
    <xf numFmtId="38" fontId="47" fillId="0" borderId="2" xfId="0" applyNumberFormat="1" applyFont="1" applyBorder="1"/>
    <xf numFmtId="38" fontId="48" fillId="0" borderId="18" xfId="0" applyNumberFormat="1" applyFont="1" applyBorder="1" applyAlignment="1">
      <alignment horizontal="right"/>
    </xf>
    <xf numFmtId="0" fontId="17" fillId="0" borderId="2" xfId="0" applyFont="1" applyBorder="1"/>
    <xf numFmtId="0" fontId="11" fillId="0" borderId="1" xfId="0" applyNumberFormat="1" applyFont="1" applyBorder="1"/>
    <xf numFmtId="168" fontId="34" fillId="0" borderId="13" xfId="3" applyNumberFormat="1" applyFont="1" applyFill="1" applyBorder="1"/>
    <xf numFmtId="0" fontId="22" fillId="0" borderId="0" xfId="0" applyFont="1" applyFill="1" applyBorder="1"/>
    <xf numFmtId="0" fontId="45" fillId="0" borderId="0" xfId="0" applyFont="1" applyFill="1" applyBorder="1"/>
    <xf numFmtId="0" fontId="52" fillId="0" borderId="0" xfId="0" applyFont="1" applyFill="1" applyBorder="1"/>
    <xf numFmtId="0" fontId="45" fillId="0" borderId="0" xfId="0" applyFont="1" applyFill="1" applyBorder="1" applyAlignment="1">
      <alignment horizontal="left" indent="1"/>
    </xf>
    <xf numFmtId="43" fontId="45" fillId="0" borderId="0" xfId="3" applyFont="1" applyFill="1" applyBorder="1"/>
    <xf numFmtId="9" fontId="45" fillId="0" borderId="0" xfId="22" applyNumberFormat="1" applyFont="1" applyFill="1" applyBorder="1"/>
    <xf numFmtId="0" fontId="52" fillId="8" borderId="1" xfId="0" applyFont="1" applyFill="1" applyBorder="1"/>
    <xf numFmtId="0" fontId="1" fillId="0" borderId="1" xfId="0" applyFont="1" applyBorder="1" applyAlignment="1">
      <alignment horizontal="right"/>
    </xf>
    <xf numFmtId="0" fontId="7" fillId="0" borderId="13" xfId="0" applyNumberFormat="1" applyFont="1" applyBorder="1" applyAlignment="1">
      <alignment horizontal="left"/>
    </xf>
    <xf numFmtId="0" fontId="7" fillId="0" borderId="15" xfId="0" applyNumberFormat="1" applyFont="1" applyBorder="1" applyAlignment="1">
      <alignment horizontal="left"/>
    </xf>
    <xf numFmtId="168" fontId="7" fillId="0" borderId="0" xfId="0" applyNumberFormat="1" applyFont="1" applyBorder="1"/>
    <xf numFmtId="0" fontId="41" fillId="0" borderId="1" xfId="0" applyFont="1" applyBorder="1"/>
    <xf numFmtId="3" fontId="53" fillId="0" borderId="0" xfId="0" applyNumberFormat="1" applyFont="1" applyFill="1" applyProtection="1">
      <protection locked="0"/>
    </xf>
    <xf numFmtId="3" fontId="0" fillId="0" borderId="0" xfId="0" applyNumberFormat="1" applyFill="1" applyBorder="1" applyAlignment="1">
      <alignment horizontal="center"/>
    </xf>
    <xf numFmtId="1" fontId="1" fillId="0" borderId="1" xfId="0" applyNumberFormat="1" applyFont="1" applyFill="1" applyBorder="1" applyAlignment="1">
      <alignment horizontal="center"/>
    </xf>
    <xf numFmtId="0" fontId="2" fillId="0" borderId="0" xfId="0" applyFont="1"/>
    <xf numFmtId="9" fontId="70" fillId="0" borderId="0" xfId="0" applyNumberFormat="1" applyFont="1"/>
    <xf numFmtId="38" fontId="54" fillId="0" borderId="0" xfId="12"/>
    <xf numFmtId="38" fontId="54" fillId="0" borderId="0" xfId="12" applyFill="1" applyBorder="1"/>
    <xf numFmtId="168" fontId="71" fillId="0" borderId="0" xfId="21" applyNumberFormat="1" applyFont="1" applyBorder="1" applyProtection="1"/>
    <xf numFmtId="0" fontId="2" fillId="0" borderId="0" xfId="0" applyFont="1" applyAlignment="1">
      <alignment wrapText="1"/>
    </xf>
    <xf numFmtId="0" fontId="2" fillId="0" borderId="16" xfId="0" applyFont="1" applyBorder="1" applyAlignment="1">
      <alignment wrapText="1"/>
    </xf>
    <xf numFmtId="9" fontId="72" fillId="0" borderId="0" xfId="22" applyFont="1"/>
    <xf numFmtId="9" fontId="73" fillId="0" borderId="0" xfId="22" applyFont="1"/>
    <xf numFmtId="0" fontId="1" fillId="0" borderId="0" xfId="0" applyFont="1"/>
    <xf numFmtId="168" fontId="0" fillId="0" borderId="0" xfId="0" applyNumberFormat="1"/>
    <xf numFmtId="168" fontId="1" fillId="0" borderId="0" xfId="0" applyNumberFormat="1" applyFont="1"/>
    <xf numFmtId="0" fontId="60" fillId="0" borderId="0" xfId="0" applyFont="1"/>
    <xf numFmtId="0" fontId="74" fillId="0" borderId="0" xfId="0" applyFont="1"/>
    <xf numFmtId="9" fontId="74" fillId="0" borderId="0" xfId="0" applyNumberFormat="1" applyFont="1"/>
    <xf numFmtId="0" fontId="2" fillId="0" borderId="23" xfId="0" applyFont="1" applyFill="1" applyBorder="1" applyAlignment="1">
      <alignment horizontal="left" vertical="center"/>
    </xf>
    <xf numFmtId="0" fontId="2" fillId="0" borderId="23" xfId="0" quotePrefix="1" applyFont="1" applyFill="1" applyBorder="1" applyAlignment="1">
      <alignment horizontal="left" vertical="center"/>
    </xf>
    <xf numFmtId="0" fontId="2" fillId="0" borderId="24" xfId="0" applyFont="1" applyFill="1" applyBorder="1" applyAlignment="1">
      <alignment horizontal="left" vertical="center"/>
    </xf>
    <xf numFmtId="0" fontId="2" fillId="0" borderId="12" xfId="0" quotePrefix="1" applyFont="1" applyFill="1" applyBorder="1" applyAlignment="1">
      <alignment horizontal="left" vertical="center"/>
    </xf>
    <xf numFmtId="0" fontId="2" fillId="0" borderId="26" xfId="0" applyFont="1" applyFill="1" applyBorder="1" applyAlignment="1">
      <alignment horizontal="left" vertical="center"/>
    </xf>
    <xf numFmtId="0" fontId="2" fillId="0" borderId="26" xfId="0" quotePrefix="1" applyFont="1" applyFill="1" applyBorder="1" applyAlignment="1">
      <alignment horizontal="left" vertical="center"/>
    </xf>
    <xf numFmtId="0" fontId="2" fillId="0" borderId="10" xfId="0" quotePrefix="1" applyFont="1" applyFill="1" applyBorder="1" applyAlignment="1">
      <alignment horizontal="left" vertical="center"/>
    </xf>
    <xf numFmtId="0" fontId="2" fillId="0" borderId="1" xfId="0" quotePrefix="1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/>
    </xf>
    <xf numFmtId="0" fontId="2" fillId="0" borderId="3" xfId="0" applyFont="1" applyFill="1" applyBorder="1" applyAlignment="1">
      <alignment horizontal="left" vertical="center"/>
    </xf>
    <xf numFmtId="0" fontId="60" fillId="0" borderId="27" xfId="0" applyFont="1" applyFill="1" applyBorder="1" applyAlignment="1">
      <alignment horizontal="left" vertical="center"/>
    </xf>
    <xf numFmtId="0" fontId="2" fillId="0" borderId="28" xfId="0" applyFont="1" applyFill="1" applyBorder="1" applyAlignment="1">
      <alignment horizontal="left" vertical="center"/>
    </xf>
    <xf numFmtId="9" fontId="67" fillId="0" borderId="29" xfId="22" applyFont="1" applyFill="1" applyBorder="1" applyAlignment="1">
      <alignment horizontal="right"/>
    </xf>
    <xf numFmtId="9" fontId="67" fillId="0" borderId="30" xfId="22" applyFont="1" applyFill="1" applyBorder="1" applyAlignment="1">
      <alignment horizontal="right"/>
    </xf>
    <xf numFmtId="9" fontId="67" fillId="0" borderId="31" xfId="22" applyFont="1" applyFill="1" applyBorder="1" applyAlignment="1">
      <alignment horizontal="right"/>
    </xf>
    <xf numFmtId="0" fontId="2" fillId="0" borderId="32" xfId="0" applyFont="1" applyBorder="1" applyAlignment="1">
      <alignment wrapText="1"/>
    </xf>
    <xf numFmtId="0" fontId="2" fillId="0" borderId="25" xfId="0" applyFont="1" applyBorder="1" applyAlignment="1">
      <alignment wrapText="1"/>
    </xf>
    <xf numFmtId="0" fontId="2" fillId="0" borderId="33" xfId="0" applyFont="1" applyBorder="1" applyAlignment="1">
      <alignment wrapText="1"/>
    </xf>
    <xf numFmtId="38" fontId="2" fillId="0" borderId="0" xfId="12" applyFont="1" applyFill="1"/>
    <xf numFmtId="0" fontId="2" fillId="0" borderId="0" xfId="0" applyFont="1" applyFill="1"/>
    <xf numFmtId="0" fontId="1" fillId="0" borderId="1" xfId="0" applyFont="1" applyFill="1" applyBorder="1"/>
    <xf numFmtId="38" fontId="1" fillId="0" borderId="34" xfId="12" applyFont="1" applyFill="1" applyBorder="1" applyAlignment="1">
      <alignment horizontal="center" wrapText="1"/>
    </xf>
    <xf numFmtId="38" fontId="2" fillId="0" borderId="0" xfId="12" applyFont="1" applyFill="1" applyBorder="1"/>
    <xf numFmtId="38" fontId="1" fillId="0" borderId="0" xfId="12" applyFont="1" applyFill="1"/>
    <xf numFmtId="0" fontId="75" fillId="0" borderId="35" xfId="0" applyFont="1" applyFill="1" applyBorder="1" applyAlignment="1">
      <alignment horizontal="left" vertical="center"/>
    </xf>
    <xf numFmtId="168" fontId="2" fillId="0" borderId="0" xfId="3" applyNumberFormat="1" applyFont="1" applyFill="1"/>
    <xf numFmtId="8" fontId="0" fillId="0" borderId="0" xfId="0" applyNumberFormat="1"/>
    <xf numFmtId="6" fontId="0" fillId="0" borderId="0" xfId="0" applyNumberFormat="1"/>
    <xf numFmtId="0" fontId="1" fillId="0" borderId="1" xfId="3" applyNumberFormat="1" applyFont="1" applyBorder="1"/>
    <xf numFmtId="43" fontId="2" fillId="0" borderId="16" xfId="3" applyFont="1" applyBorder="1" applyAlignment="1">
      <alignment horizontal="left"/>
    </xf>
    <xf numFmtId="43" fontId="0" fillId="0" borderId="0" xfId="3" applyFont="1"/>
    <xf numFmtId="0" fontId="1" fillId="0" borderId="0" xfId="0" applyFont="1" applyFill="1" applyBorder="1"/>
    <xf numFmtId="0" fontId="61" fillId="0" borderId="0" xfId="0" applyFont="1" applyFill="1"/>
    <xf numFmtId="0" fontId="2" fillId="0" borderId="0" xfId="0" applyFont="1" applyFill="1" applyAlignment="1">
      <alignment horizontal="left" indent="1"/>
    </xf>
    <xf numFmtId="0" fontId="61" fillId="0" borderId="0" xfId="0" applyFont="1" applyFill="1" applyAlignment="1">
      <alignment horizontal="left"/>
    </xf>
    <xf numFmtId="38" fontId="1" fillId="0" borderId="34" xfId="12" applyFont="1" applyFill="1" applyBorder="1" applyAlignment="1">
      <alignment wrapText="1"/>
    </xf>
    <xf numFmtId="0" fontId="1" fillId="0" borderId="16" xfId="0" applyFont="1" applyFill="1" applyBorder="1"/>
    <xf numFmtId="168" fontId="1" fillId="0" borderId="23" xfId="3" applyNumberFormat="1" applyFont="1" applyFill="1" applyBorder="1"/>
    <xf numFmtId="168" fontId="1" fillId="0" borderId="1" xfId="3" applyNumberFormat="1" applyFont="1" applyFill="1" applyBorder="1"/>
    <xf numFmtId="168" fontId="1" fillId="0" borderId="36" xfId="3" applyNumberFormat="1" applyFont="1" applyFill="1" applyBorder="1"/>
    <xf numFmtId="0" fontId="1" fillId="0" borderId="1" xfId="0" applyFont="1" applyFill="1" applyBorder="1" applyAlignment="1">
      <alignment horizontal="left" indent="1"/>
    </xf>
    <xf numFmtId="1" fontId="2" fillId="0" borderId="0" xfId="0" applyNumberFormat="1" applyFont="1" applyFill="1"/>
    <xf numFmtId="1" fontId="2" fillId="0" borderId="0" xfId="3" applyNumberFormat="1" applyFont="1" applyFill="1" applyAlignment="1">
      <alignment horizontal="right"/>
    </xf>
    <xf numFmtId="1" fontId="1" fillId="0" borderId="23" xfId="3" applyNumberFormat="1" applyFont="1" applyFill="1" applyBorder="1"/>
    <xf numFmtId="1" fontId="1" fillId="0" borderId="1" xfId="3" applyNumberFormat="1" applyFont="1" applyFill="1" applyBorder="1"/>
    <xf numFmtId="1" fontId="1" fillId="0" borderId="36" xfId="3" applyNumberFormat="1" applyFont="1" applyFill="1" applyBorder="1"/>
    <xf numFmtId="1" fontId="74" fillId="0" borderId="0" xfId="0" applyNumberFormat="1" applyFont="1" applyFill="1"/>
    <xf numFmtId="1" fontId="1" fillId="0" borderId="0" xfId="3" applyNumberFormat="1" applyFont="1" applyFill="1" applyBorder="1"/>
    <xf numFmtId="1" fontId="2" fillId="0" borderId="1" xfId="0" applyNumberFormat="1" applyFont="1" applyFill="1" applyBorder="1"/>
    <xf numFmtId="1" fontId="1" fillId="0" borderId="37" xfId="3" applyNumberFormat="1" applyFont="1" applyFill="1" applyBorder="1"/>
    <xf numFmtId="9" fontId="76" fillId="0" borderId="0" xfId="22" applyFont="1" applyFill="1" applyBorder="1" applyAlignment="1">
      <alignment horizontal="center"/>
    </xf>
    <xf numFmtId="166" fontId="77" fillId="0" borderId="0" xfId="21" applyNumberFormat="1" applyFont="1" applyAlignment="1" applyProtection="1">
      <alignment horizontal="right"/>
    </xf>
    <xf numFmtId="0" fontId="1" fillId="0" borderId="36" xfId="3" applyNumberFormat="1" applyFont="1" applyBorder="1"/>
    <xf numFmtId="168" fontId="2" fillId="0" borderId="0" xfId="0" applyNumberFormat="1" applyFont="1" applyBorder="1" applyAlignment="1">
      <alignment horizontal="left"/>
    </xf>
    <xf numFmtId="0" fontId="2" fillId="0" borderId="0" xfId="0" applyFont="1" applyFill="1" applyAlignment="1"/>
    <xf numFmtId="168" fontId="7" fillId="0" borderId="0" xfId="3" applyNumberFormat="1" applyFont="1"/>
    <xf numFmtId="9" fontId="74" fillId="0" borderId="0" xfId="22" applyFont="1"/>
    <xf numFmtId="177" fontId="74" fillId="0" borderId="0" xfId="0" applyNumberFormat="1" applyFont="1" applyFill="1"/>
    <xf numFmtId="9" fontId="67" fillId="0" borderId="0" xfId="22" applyFont="1" applyFill="1"/>
    <xf numFmtId="38" fontId="18" fillId="0" borderId="18" xfId="0" applyNumberFormat="1" applyFont="1" applyBorder="1"/>
    <xf numFmtId="0" fontId="0" fillId="0" borderId="18" xfId="0" applyBorder="1"/>
    <xf numFmtId="0" fontId="7" fillId="0" borderId="18" xfId="0" applyFont="1" applyBorder="1"/>
    <xf numFmtId="0" fontId="70" fillId="0" borderId="0" xfId="0" applyFont="1"/>
    <xf numFmtId="178" fontId="70" fillId="0" borderId="0" xfId="6" applyNumberFormat="1" applyFont="1"/>
    <xf numFmtId="9" fontId="70" fillId="0" borderId="0" xfId="22" applyFont="1"/>
    <xf numFmtId="0" fontId="1" fillId="0" borderId="0" xfId="3" applyNumberFormat="1" applyFont="1" applyBorder="1"/>
    <xf numFmtId="9" fontId="67" fillId="0" borderId="28" xfId="22" applyFont="1" applyFill="1" applyBorder="1" applyAlignment="1">
      <alignment horizontal="right"/>
    </xf>
    <xf numFmtId="9" fontId="67" fillId="0" borderId="23" xfId="22" applyFont="1" applyFill="1" applyBorder="1" applyAlignment="1">
      <alignment horizontal="right"/>
    </xf>
    <xf numFmtId="9" fontId="67" fillId="0" borderId="24" xfId="22" applyFont="1" applyFill="1" applyBorder="1" applyAlignment="1">
      <alignment horizontal="right"/>
    </xf>
    <xf numFmtId="0" fontId="1" fillId="0" borderId="10" xfId="3" applyNumberFormat="1" applyFont="1" applyBorder="1"/>
    <xf numFmtId="0" fontId="1" fillId="0" borderId="11" xfId="3" applyNumberFormat="1" applyFont="1" applyBorder="1"/>
    <xf numFmtId="179" fontId="74" fillId="0" borderId="0" xfId="0" applyNumberFormat="1" applyFont="1" applyFill="1"/>
    <xf numFmtId="0" fontId="67" fillId="0" borderId="0" xfId="0" applyFont="1" applyFill="1"/>
    <xf numFmtId="180" fontId="74" fillId="0" borderId="0" xfId="0" applyNumberFormat="1" applyFont="1" applyFill="1"/>
    <xf numFmtId="38" fontId="2" fillId="0" borderId="0" xfId="12" applyFont="1"/>
    <xf numFmtId="181" fontId="67" fillId="0" borderId="0" xfId="12" applyNumberFormat="1" applyFont="1"/>
    <xf numFmtId="38" fontId="1" fillId="0" borderId="0" xfId="12" applyFont="1"/>
    <xf numFmtId="38" fontId="74" fillId="9" borderId="0" xfId="12" applyFont="1" applyFill="1"/>
    <xf numFmtId="183" fontId="74" fillId="0" borderId="0" xfId="12" applyNumberFormat="1" applyFont="1"/>
    <xf numFmtId="38" fontId="2" fillId="0" borderId="16" xfId="12" applyFont="1" applyBorder="1"/>
    <xf numFmtId="38" fontId="2" fillId="0" borderId="38" xfId="12" applyFont="1" applyBorder="1"/>
    <xf numFmtId="38" fontId="2" fillId="0" borderId="30" xfId="12" applyFont="1" applyBorder="1"/>
    <xf numFmtId="38" fontId="2" fillId="0" borderId="39" xfId="12" applyFont="1" applyBorder="1"/>
    <xf numFmtId="38" fontId="2" fillId="0" borderId="40" xfId="12" applyFont="1" applyBorder="1"/>
    <xf numFmtId="38" fontId="2" fillId="0" borderId="34" xfId="12" applyFont="1" applyBorder="1"/>
    <xf numFmtId="38" fontId="2" fillId="0" borderId="41" xfId="12" applyFont="1" applyBorder="1"/>
    <xf numFmtId="38" fontId="2" fillId="0" borderId="42" xfId="12" applyFont="1" applyBorder="1"/>
    <xf numFmtId="38" fontId="2" fillId="0" borderId="32" xfId="12" applyFont="1" applyBorder="1"/>
    <xf numFmtId="38" fontId="2" fillId="0" borderId="43" xfId="12" applyFont="1" applyBorder="1"/>
    <xf numFmtId="0" fontId="1" fillId="0" borderId="40" xfId="0" applyFont="1" applyBorder="1" applyAlignment="1">
      <alignment horizontal="center"/>
    </xf>
    <xf numFmtId="0" fontId="1" fillId="0" borderId="34" xfId="0" applyFont="1" applyBorder="1" applyAlignment="1">
      <alignment horizontal="center"/>
    </xf>
    <xf numFmtId="0" fontId="1" fillId="0" borderId="41" xfId="0" applyFont="1" applyBorder="1" applyAlignment="1">
      <alignment horizontal="center"/>
    </xf>
    <xf numFmtId="0" fontId="7" fillId="0" borderId="2" xfId="0" applyFont="1" applyBorder="1"/>
    <xf numFmtId="38" fontId="63" fillId="0" borderId="0" xfId="0" applyNumberFormat="1" applyFont="1" applyBorder="1"/>
    <xf numFmtId="43" fontId="2" fillId="0" borderId="44" xfId="0" applyNumberFormat="1" applyFont="1" applyFill="1" applyBorder="1" applyAlignment="1">
      <alignment horizontal="left"/>
    </xf>
    <xf numFmtId="9" fontId="67" fillId="0" borderId="45" xfId="22" applyFont="1" applyFill="1" applyBorder="1" applyAlignment="1">
      <alignment horizontal="right"/>
    </xf>
    <xf numFmtId="0" fontId="60" fillId="0" borderId="46" xfId="0" applyFont="1" applyFill="1" applyBorder="1" applyAlignment="1">
      <alignment horizontal="center" vertical="center"/>
    </xf>
    <xf numFmtId="0" fontId="60" fillId="0" borderId="47" xfId="0" applyFont="1" applyFill="1" applyBorder="1" applyAlignment="1">
      <alignment horizontal="center" vertical="center" wrapText="1"/>
    </xf>
    <xf numFmtId="168" fontId="1" fillId="0" borderId="0" xfId="3" applyNumberFormat="1" applyFont="1"/>
    <xf numFmtId="0" fontId="2" fillId="0" borderId="0" xfId="0" applyFont="1" applyFill="1" applyBorder="1" applyAlignment="1">
      <alignment horizontal="left" vertical="center"/>
    </xf>
    <xf numFmtId="0" fontId="75" fillId="0" borderId="0" xfId="0" applyFont="1" applyFill="1" applyBorder="1" applyAlignment="1">
      <alignment horizontal="left" vertical="center"/>
    </xf>
    <xf numFmtId="38" fontId="1" fillId="0" borderId="0" xfId="12" applyFont="1" applyBorder="1" applyAlignment="1">
      <alignment horizontal="left"/>
    </xf>
    <xf numFmtId="0" fontId="64" fillId="0" borderId="0" xfId="0" applyFont="1"/>
    <xf numFmtId="0" fontId="1" fillId="0" borderId="0" xfId="0" applyFont="1" applyBorder="1" applyAlignment="1">
      <alignment horizontal="center"/>
    </xf>
    <xf numFmtId="168" fontId="1" fillId="0" borderId="1" xfId="0" applyNumberFormat="1" applyFont="1" applyBorder="1"/>
    <xf numFmtId="43" fontId="2" fillId="0" borderId="0" xfId="0" applyNumberFormat="1" applyFont="1" applyBorder="1"/>
    <xf numFmtId="168" fontId="1" fillId="0" borderId="3" xfId="0" applyNumberFormat="1" applyFont="1" applyBorder="1" applyAlignment="1">
      <alignment horizontal="center"/>
    </xf>
    <xf numFmtId="184" fontId="74" fillId="0" borderId="0" xfId="0" applyNumberFormat="1" applyFont="1" applyFill="1"/>
    <xf numFmtId="38" fontId="67" fillId="0" borderId="0" xfId="12" applyFont="1" applyFill="1" applyBorder="1"/>
    <xf numFmtId="0" fontId="60" fillId="0" borderId="47" xfId="0" applyFont="1" applyFill="1" applyBorder="1" applyAlignment="1">
      <alignment horizontal="center" vertical="center"/>
    </xf>
    <xf numFmtId="0" fontId="2" fillId="0" borderId="49" xfId="0" applyFont="1" applyFill="1" applyBorder="1" applyAlignment="1">
      <alignment horizontal="left" vertical="center"/>
    </xf>
    <xf numFmtId="0" fontId="2" fillId="0" borderId="50" xfId="0" applyFont="1" applyFill="1" applyBorder="1" applyAlignment="1">
      <alignment horizontal="left" vertical="center"/>
    </xf>
    <xf numFmtId="0" fontId="2" fillId="0" borderId="50" xfId="0" quotePrefix="1" applyFont="1" applyFill="1" applyBorder="1" applyAlignment="1">
      <alignment horizontal="left" vertical="center"/>
    </xf>
    <xf numFmtId="0" fontId="2" fillId="0" borderId="51" xfId="0" applyFont="1" applyFill="1" applyBorder="1" applyAlignment="1">
      <alignment horizontal="left" vertical="center"/>
    </xf>
    <xf numFmtId="0" fontId="2" fillId="0" borderId="49" xfId="0" quotePrefix="1" applyFont="1" applyFill="1" applyBorder="1" applyAlignment="1">
      <alignment horizontal="left" vertical="center"/>
    </xf>
    <xf numFmtId="0" fontId="2" fillId="0" borderId="49" xfId="0" applyFont="1" applyBorder="1" applyAlignment="1">
      <alignment wrapText="1"/>
    </xf>
    <xf numFmtId="0" fontId="2" fillId="0" borderId="50" xfId="0" applyFont="1" applyBorder="1" applyAlignment="1">
      <alignment wrapText="1"/>
    </xf>
    <xf numFmtId="0" fontId="2" fillId="0" borderId="51" xfId="0" applyFont="1" applyBorder="1" applyAlignment="1">
      <alignment wrapText="1"/>
    </xf>
    <xf numFmtId="0" fontId="2" fillId="0" borderId="52" xfId="0" applyFont="1" applyBorder="1" applyAlignment="1">
      <alignment wrapText="1"/>
    </xf>
    <xf numFmtId="17" fontId="78" fillId="0" borderId="0" xfId="0" applyNumberFormat="1" applyFont="1"/>
    <xf numFmtId="0" fontId="65" fillId="0" borderId="0" xfId="0" applyFont="1"/>
    <xf numFmtId="9" fontId="65" fillId="0" borderId="0" xfId="0" applyNumberFormat="1" applyFont="1"/>
    <xf numFmtId="0" fontId="79" fillId="0" borderId="0" xfId="0" applyNumberFormat="1" applyFont="1"/>
    <xf numFmtId="0" fontId="75" fillId="0" borderId="0" xfId="0" applyFont="1"/>
    <xf numFmtId="0" fontId="2" fillId="0" borderId="53" xfId="0" applyFont="1" applyBorder="1"/>
    <xf numFmtId="0" fontId="0" fillId="0" borderId="54" xfId="0" applyBorder="1"/>
    <xf numFmtId="0" fontId="2" fillId="0" borderId="44" xfId="0" applyFont="1" applyBorder="1"/>
    <xf numFmtId="0" fontId="0" fillId="0" borderId="0" xfId="0" applyBorder="1"/>
    <xf numFmtId="0" fontId="0" fillId="0" borderId="55" xfId="0" applyBorder="1"/>
    <xf numFmtId="1" fontId="0" fillId="0" borderId="0" xfId="0" applyNumberFormat="1" applyBorder="1"/>
    <xf numFmtId="0" fontId="2" fillId="0" borderId="37" xfId="0" applyFont="1" applyBorder="1"/>
    <xf numFmtId="0" fontId="0" fillId="0" borderId="4" xfId="0" applyBorder="1"/>
    <xf numFmtId="1" fontId="0" fillId="0" borderId="4" xfId="0" applyNumberFormat="1" applyBorder="1"/>
    <xf numFmtId="1" fontId="0" fillId="0" borderId="56" xfId="0" applyNumberFormat="1" applyBorder="1"/>
    <xf numFmtId="37" fontId="66" fillId="0" borderId="0" xfId="0" applyNumberFormat="1" applyFont="1" applyBorder="1" applyAlignment="1"/>
    <xf numFmtId="168" fontId="1" fillId="0" borderId="0" xfId="3" applyNumberFormat="1" applyFont="1" applyFill="1" applyBorder="1"/>
    <xf numFmtId="38" fontId="2" fillId="0" borderId="0" xfId="12" applyFont="1" applyAlignment="1">
      <alignment horizontal="left" indent="1"/>
    </xf>
    <xf numFmtId="38" fontId="2" fillId="0" borderId="0" xfId="12" applyFont="1" applyBorder="1"/>
    <xf numFmtId="38" fontId="0" fillId="0" borderId="0" xfId="0" applyNumberFormat="1"/>
    <xf numFmtId="168" fontId="42" fillId="0" borderId="0" xfId="0" applyNumberFormat="1" applyFont="1" applyBorder="1"/>
    <xf numFmtId="3" fontId="4" fillId="0" borderId="0" xfId="21" applyNumberFormat="1" applyFont="1" applyBorder="1" applyAlignment="1" applyProtection="1">
      <alignment horizontal="center"/>
    </xf>
    <xf numFmtId="37" fontId="23" fillId="0" borderId="0" xfId="0" applyNumberFormat="1" applyFont="1"/>
    <xf numFmtId="9" fontId="23" fillId="0" borderId="0" xfId="0" applyNumberFormat="1" applyFont="1"/>
    <xf numFmtId="9" fontId="29" fillId="0" borderId="1" xfId="0" applyNumberFormat="1" applyFont="1" applyBorder="1"/>
    <xf numFmtId="9" fontId="16" fillId="0" borderId="2" xfId="0" applyNumberFormat="1" applyFont="1" applyBorder="1"/>
    <xf numFmtId="9" fontId="4" fillId="0" borderId="0" xfId="21" applyNumberFormat="1" applyFont="1" applyProtection="1"/>
    <xf numFmtId="0" fontId="8" fillId="0" borderId="1" xfId="0" applyNumberFormat="1" applyFont="1" applyBorder="1" applyAlignment="1">
      <alignment horizontal="center"/>
    </xf>
    <xf numFmtId="4" fontId="1" fillId="0" borderId="0" xfId="12" applyNumberFormat="1" applyFont="1" applyFill="1"/>
    <xf numFmtId="4" fontId="0" fillId="0" borderId="0" xfId="0" applyNumberFormat="1"/>
    <xf numFmtId="1" fontId="0" fillId="0" borderId="0" xfId="0" applyNumberFormat="1"/>
    <xf numFmtId="0" fontId="0" fillId="10" borderId="0" xfId="0" applyFill="1"/>
    <xf numFmtId="0" fontId="0" fillId="11" borderId="0" xfId="0" applyFill="1"/>
    <xf numFmtId="171" fontId="7" fillId="0" borderId="0" xfId="3" applyNumberFormat="1" applyFont="1"/>
    <xf numFmtId="38" fontId="2" fillId="0" borderId="0" xfId="0" applyNumberFormat="1" applyFont="1" applyFill="1"/>
    <xf numFmtId="38" fontId="1" fillId="0" borderId="0" xfId="12" applyFont="1" applyFill="1" applyBorder="1" applyAlignment="1">
      <alignment horizontal="center" wrapText="1"/>
    </xf>
    <xf numFmtId="38" fontId="80" fillId="0" borderId="38" xfId="12" applyFont="1" applyBorder="1"/>
    <xf numFmtId="38" fontId="18" fillId="0" borderId="57" xfId="0" applyNumberFormat="1" applyFont="1" applyBorder="1"/>
    <xf numFmtId="38" fontId="7" fillId="0" borderId="57" xfId="0" applyNumberFormat="1" applyFont="1" applyBorder="1"/>
    <xf numFmtId="9" fontId="7" fillId="0" borderId="57" xfId="0" applyNumberFormat="1" applyFont="1" applyBorder="1"/>
    <xf numFmtId="9" fontId="2" fillId="0" borderId="0" xfId="0" applyNumberFormat="1" applyFont="1"/>
    <xf numFmtId="0" fontId="2" fillId="0" borderId="0" xfId="0" applyFont="1" applyAlignment="1">
      <alignment horizontal="left" indent="1"/>
    </xf>
    <xf numFmtId="168" fontId="0" fillId="0" borderId="1" xfId="3" applyNumberFormat="1" applyFont="1" applyBorder="1"/>
    <xf numFmtId="0" fontId="2" fillId="0" borderId="0" xfId="0" applyFont="1" applyFill="1" applyAlignment="1">
      <alignment horizontal="left"/>
    </xf>
    <xf numFmtId="0" fontId="45" fillId="0" borderId="0" xfId="0" applyFont="1" applyFill="1" applyBorder="1" applyAlignment="1">
      <alignment horizontal="left"/>
    </xf>
    <xf numFmtId="168" fontId="45" fillId="0" borderId="0" xfId="0" applyNumberFormat="1" applyFont="1" applyFill="1" applyBorder="1"/>
    <xf numFmtId="168" fontId="45" fillId="0" borderId="0" xfId="3" applyNumberFormat="1" applyFont="1" applyFill="1" applyBorder="1"/>
    <xf numFmtId="0" fontId="22" fillId="8" borderId="1" xfId="0" applyFont="1" applyFill="1" applyBorder="1"/>
    <xf numFmtId="168" fontId="81" fillId="0" borderId="0" xfId="21" applyNumberFormat="1" applyFont="1" applyBorder="1" applyProtection="1"/>
    <xf numFmtId="186" fontId="7" fillId="0" borderId="0" xfId="0" applyNumberFormat="1" applyFont="1" applyBorder="1"/>
    <xf numFmtId="43" fontId="1" fillId="0" borderId="0" xfId="3" applyFont="1" applyFill="1" applyBorder="1"/>
    <xf numFmtId="0" fontId="1" fillId="0" borderId="0" xfId="0" applyFont="1" applyAlignment="1">
      <alignment horizontal="center"/>
    </xf>
    <xf numFmtId="0" fontId="1" fillId="0" borderId="19" xfId="0" applyFont="1" applyBorder="1" applyAlignment="1">
      <alignment horizontal="center"/>
    </xf>
    <xf numFmtId="0" fontId="1" fillId="0" borderId="20" xfId="0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2" fillId="0" borderId="35" xfId="0" applyFont="1" applyFill="1" applyBorder="1" applyAlignment="1">
      <alignment horizontal="left" vertical="center"/>
    </xf>
    <xf numFmtId="0" fontId="82" fillId="8" borderId="0" xfId="0" applyFont="1" applyFill="1"/>
    <xf numFmtId="43" fontId="2" fillId="0" borderId="25" xfId="3" applyFont="1" applyFill="1" applyBorder="1" applyAlignment="1">
      <alignment horizontal="left"/>
    </xf>
    <xf numFmtId="43" fontId="2" fillId="0" borderId="48" xfId="3" applyFont="1" applyFill="1" applyBorder="1" applyAlignment="1">
      <alignment horizontal="left"/>
    </xf>
    <xf numFmtId="9" fontId="2" fillId="0" borderId="29" xfId="22" applyFont="1" applyFill="1" applyBorder="1" applyAlignment="1">
      <alignment horizontal="right"/>
    </xf>
    <xf numFmtId="9" fontId="2" fillId="0" borderId="30" xfId="22" applyFont="1" applyFill="1" applyBorder="1" applyAlignment="1">
      <alignment horizontal="right"/>
    </xf>
    <xf numFmtId="9" fontId="2" fillId="0" borderId="31" xfId="22" applyFont="1" applyFill="1" applyBorder="1" applyAlignment="1">
      <alignment horizontal="right"/>
    </xf>
    <xf numFmtId="190" fontId="74" fillId="0" borderId="0" xfId="12" applyNumberFormat="1" applyFont="1"/>
  </cellXfs>
  <cellStyles count="27">
    <cellStyle name="Check" xfId="1"/>
    <cellStyle name="Col Heading" xfId="2"/>
    <cellStyle name="Comma" xfId="3" builtinId="3"/>
    <cellStyle name="Comma [000]" xfId="4"/>
    <cellStyle name="Comma_IS" xfId="5"/>
    <cellStyle name="Currency" xfId="6" builtinId="4"/>
    <cellStyle name="Currency_IS" xfId="7"/>
    <cellStyle name="Date" xfId="8"/>
    <cellStyle name="Deviant" xfId="9"/>
    <cellStyle name="finance" xfId="10"/>
    <cellStyle name="Finance bold" xfId="11"/>
    <cellStyle name="Finance normal" xfId="12"/>
    <cellStyle name="Finance percent" xfId="13"/>
    <cellStyle name="Finance percent bold" xfId="14"/>
    <cellStyle name="Grey" xfId="15"/>
    <cellStyle name="Heading1" xfId="16"/>
    <cellStyle name="Heading2" xfId="17"/>
    <cellStyle name="Input 2" xfId="18"/>
    <cellStyle name="Normal" xfId="0" builtinId="0"/>
    <cellStyle name="Normal 2" xfId="19"/>
    <cellStyle name="Normal 2 2" xfId="20"/>
    <cellStyle name="Normal_IS" xfId="21"/>
    <cellStyle name="Percent" xfId="22" builtinId="5"/>
    <cellStyle name="Title1" xfId="23"/>
    <cellStyle name="Title2" xfId="24"/>
    <cellStyle name="unprotect" xfId="25"/>
    <cellStyle name="year" xfId="26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1123950</xdr:colOff>
      <xdr:row>42</xdr:row>
      <xdr:rowOff>38100</xdr:rowOff>
    </xdr:from>
    <xdr:to>
      <xdr:col>7</xdr:col>
      <xdr:colOff>1590675</xdr:colOff>
      <xdr:row>43</xdr:row>
      <xdr:rowOff>85725</xdr:rowOff>
    </xdr:to>
    <xdr:pic>
      <xdr:nvPicPr>
        <xdr:cNvPr id="5140" name="Picture 1" descr="Datawise_Logo Final.bmp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058650" y="7010400"/>
          <a:ext cx="466725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895350</xdr:colOff>
      <xdr:row>32</xdr:row>
      <xdr:rowOff>9525</xdr:rowOff>
    </xdr:from>
    <xdr:to>
      <xdr:col>9</xdr:col>
      <xdr:colOff>0</xdr:colOff>
      <xdr:row>33</xdr:row>
      <xdr:rowOff>47625</xdr:rowOff>
    </xdr:to>
    <xdr:pic>
      <xdr:nvPicPr>
        <xdr:cNvPr id="20502" name="Picture 1" descr="Datawise_Logo Final.bmp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82425" y="7115175"/>
          <a:ext cx="9525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B1:K53"/>
  <sheetViews>
    <sheetView tabSelected="1" workbookViewId="0">
      <selection activeCell="E2" sqref="E2"/>
    </sheetView>
  </sheetViews>
  <sheetFormatPr defaultRowHeight="12.75"/>
  <cols>
    <col min="1" max="1" width="20.42578125" customWidth="1"/>
    <col min="2" max="2" width="30.5703125" customWidth="1"/>
    <col min="3" max="3" width="9.28515625" bestFit="1" customWidth="1"/>
    <col min="4" max="4" width="20.7109375" hidden="1" customWidth="1"/>
    <col min="5" max="9" width="20.7109375" customWidth="1"/>
  </cols>
  <sheetData>
    <row r="1" spans="2:10" s="64" customFormat="1" ht="42" customHeight="1" thickBot="1">
      <c r="B1" s="67" t="str">
        <f>co_name</f>
        <v>Sample Company</v>
      </c>
      <c r="C1" s="67"/>
      <c r="D1" s="67"/>
      <c r="E1" s="67"/>
      <c r="F1" s="67"/>
      <c r="G1" s="67"/>
      <c r="H1" s="67"/>
      <c r="I1" s="86" t="str">
        <f>"Exhibit "&amp;_Exh1</f>
        <v>Exhibit 1</v>
      </c>
      <c r="J1"/>
    </row>
    <row r="2" spans="2:10" s="9" customFormat="1" ht="18.75">
      <c r="B2" s="66" t="str">
        <f>proj_name</f>
        <v>Marine Operations Services</v>
      </c>
      <c r="I2" s="68">
        <f ca="1">IF(date_toggle=1,run_date,"")</f>
        <v>39918</v>
      </c>
      <c r="J2"/>
    </row>
    <row r="3" spans="2:10" s="9" customFormat="1" ht="18.75">
      <c r="B3" s="65" t="s">
        <v>127</v>
      </c>
      <c r="I3" s="69">
        <f ca="1">IF(time_toggle=1,run_time,"")</f>
        <v>39918.566740393515</v>
      </c>
      <c r="J3"/>
    </row>
    <row r="4" spans="2:10" s="9" customFormat="1" ht="15.75">
      <c r="B4" s="65" t="str">
        <f>curr</f>
        <v>(in US Dollars)</v>
      </c>
    </row>
    <row r="9" spans="2:10" ht="15.75">
      <c r="D9" s="85">
        <v>2009</v>
      </c>
      <c r="E9" s="85">
        <f>first_year</f>
        <v>2009</v>
      </c>
      <c r="F9" s="85">
        <f>E9+1</f>
        <v>2010</v>
      </c>
      <c r="G9" s="85">
        <f>F9+1</f>
        <v>2011</v>
      </c>
      <c r="H9" s="85">
        <f>G9+1</f>
        <v>2012</v>
      </c>
      <c r="I9" s="85">
        <f>H9+1</f>
        <v>2013</v>
      </c>
    </row>
    <row r="11" spans="2:10">
      <c r="B11" s="87" t="s">
        <v>128</v>
      </c>
      <c r="C11" s="87"/>
      <c r="D11" s="193">
        <f>'Fixed Assets Sch'!D42</f>
        <v>0</v>
      </c>
      <c r="E11" s="193">
        <f>'Fixed Assets Sch'!E42</f>
        <v>2988125</v>
      </c>
      <c r="F11" s="193">
        <f>'Fixed Assets Sch'!F42</f>
        <v>2264375</v>
      </c>
      <c r="G11" s="193">
        <f>'Fixed Assets Sch'!G42</f>
        <v>1540625</v>
      </c>
      <c r="H11" s="193">
        <f>'Fixed Assets Sch'!H42</f>
        <v>2995937.5</v>
      </c>
      <c r="I11" s="193">
        <f>'Fixed Assets Sch'!I42</f>
        <v>2248750</v>
      </c>
    </row>
    <row r="12" spans="2:10">
      <c r="B12" s="87" t="s">
        <v>129</v>
      </c>
      <c r="C12" s="87"/>
      <c r="D12" s="193">
        <f>'Fixed Assets Sch'!D51</f>
        <v>0</v>
      </c>
      <c r="E12" s="193">
        <f>'Fixed Assets Sch'!E51</f>
        <v>0</v>
      </c>
      <c r="F12" s="193">
        <f>'Fixed Assets Sch'!F51</f>
        <v>0</v>
      </c>
      <c r="G12" s="193">
        <f>'Fixed Assets Sch'!G51</f>
        <v>0</v>
      </c>
      <c r="H12" s="193">
        <f>'Fixed Assets Sch'!H51</f>
        <v>0</v>
      </c>
      <c r="I12" s="193">
        <f>'Fixed Assets Sch'!I51</f>
        <v>0</v>
      </c>
    </row>
    <row r="13" spans="2:10">
      <c r="B13" s="87" t="s">
        <v>130</v>
      </c>
      <c r="C13" s="87"/>
      <c r="D13" s="193">
        <f>'Fixed Assets Sch'!D65</f>
        <v>0</v>
      </c>
      <c r="E13" s="193">
        <f>'Fixed Assets Sch'!E65</f>
        <v>2546409.6758520985</v>
      </c>
      <c r="F13" s="193">
        <f>'Fixed Assets Sch'!F65</f>
        <v>1909807.2568890741</v>
      </c>
      <c r="G13" s="193">
        <f>'Fixed Assets Sch'!G65</f>
        <v>1273204.8379260495</v>
      </c>
      <c r="H13" s="193">
        <f>'Fixed Assets Sch'!H65</f>
        <v>636602.41896302486</v>
      </c>
      <c r="I13" s="193">
        <f>'Fixed Assets Sch'!I65</f>
        <v>0</v>
      </c>
    </row>
    <row r="14" spans="2:10">
      <c r="B14" s="87"/>
      <c r="C14" s="87"/>
      <c r="D14" s="88">
        <f t="shared" ref="D14:I14" si="0">SUM(D11:D13)</f>
        <v>0</v>
      </c>
      <c r="E14" s="88">
        <f t="shared" si="0"/>
        <v>5534534.6758520985</v>
      </c>
      <c r="F14" s="88">
        <f t="shared" si="0"/>
        <v>4174182.2568890741</v>
      </c>
      <c r="G14" s="88">
        <f t="shared" si="0"/>
        <v>2813829.8379260497</v>
      </c>
      <c r="H14" s="88">
        <f t="shared" si="0"/>
        <v>3632539.9189630249</v>
      </c>
      <c r="I14" s="88">
        <f t="shared" si="0"/>
        <v>2248750</v>
      </c>
    </row>
    <row r="15" spans="2:10">
      <c r="B15" s="89" t="s">
        <v>131</v>
      </c>
      <c r="C15" s="87"/>
      <c r="D15" s="90"/>
      <c r="E15" s="90"/>
      <c r="F15" s="90"/>
      <c r="G15" s="90"/>
      <c r="H15" s="90"/>
      <c r="I15" s="90"/>
    </row>
    <row r="16" spans="2:10" hidden="1">
      <c r="B16" s="87" t="s">
        <v>132</v>
      </c>
      <c r="C16" s="87"/>
      <c r="D16" s="193">
        <f>'Working capital'!E13</f>
        <v>0</v>
      </c>
      <c r="E16" s="193">
        <f>'Working capital'!F13</f>
        <v>0</v>
      </c>
      <c r="F16" s="193">
        <f>'Working capital'!G13</f>
        <v>0</v>
      </c>
      <c r="G16" s="193">
        <f>'Working capital'!H13</f>
        <v>0</v>
      </c>
      <c r="H16" s="193">
        <f>'Working capital'!I13</f>
        <v>0</v>
      </c>
      <c r="I16" s="193">
        <f>'Working capital'!J13</f>
        <v>0</v>
      </c>
    </row>
    <row r="17" spans="2:9">
      <c r="B17" s="87" t="s">
        <v>133</v>
      </c>
      <c r="C17" s="87"/>
      <c r="D17" s="193">
        <v>0</v>
      </c>
      <c r="E17" s="193">
        <f>+'Working capital'!E22</f>
        <v>1496438.8748668109</v>
      </c>
      <c r="F17" s="193">
        <f>+'Working capital'!F22</f>
        <v>5610785.3030783348</v>
      </c>
      <c r="G17" s="193">
        <f>+'Working capital'!G22</f>
        <v>6035588.4615521198</v>
      </c>
      <c r="H17" s="193">
        <f>+'Working capital'!H22</f>
        <v>12614043.971351566</v>
      </c>
      <c r="I17" s="193">
        <f>+'Working capital'!I22</f>
        <v>16426832.682621872</v>
      </c>
    </row>
    <row r="18" spans="2:9" hidden="1">
      <c r="B18" s="87" t="s">
        <v>134</v>
      </c>
      <c r="C18" s="87"/>
      <c r="D18" s="193">
        <f>'Working capital'!D19</f>
        <v>0</v>
      </c>
      <c r="E18" s="193">
        <f>'Working capital'!E19</f>
        <v>0</v>
      </c>
      <c r="F18" s="193">
        <f>'Working capital'!F19</f>
        <v>0</v>
      </c>
      <c r="G18" s="193">
        <f>'Working capital'!G19</f>
        <v>0</v>
      </c>
      <c r="H18" s="193">
        <f>'Working capital'!H19</f>
        <v>0</v>
      </c>
      <c r="I18" s="193">
        <f>'Working capital'!I19</f>
        <v>0</v>
      </c>
    </row>
    <row r="19" spans="2:9" hidden="1">
      <c r="B19" s="87" t="s">
        <v>135</v>
      </c>
      <c r="C19" s="87"/>
      <c r="D19" s="197">
        <v>0</v>
      </c>
      <c r="E19" s="197">
        <v>0</v>
      </c>
      <c r="F19" s="197">
        <v>0</v>
      </c>
      <c r="G19" s="197">
        <v>0</v>
      </c>
      <c r="H19" s="197">
        <v>0</v>
      </c>
      <c r="I19" s="197">
        <v>0</v>
      </c>
    </row>
    <row r="20" spans="2:9">
      <c r="B20" s="87" t="s">
        <v>136</v>
      </c>
      <c r="C20" s="87"/>
      <c r="D20" s="193">
        <v>0</v>
      </c>
      <c r="E20" s="193">
        <f>IF((SUM(E16:E19)+E14-SUM(E23:E24)-SUM(E26:E28)-SUM(E36:E39)-SUM(E42:E43))&gt;0,0,-(SUM(E16:E19)+E14-SUM(E23:E24)-SUM(E26:E28)-SUM(E36:E39)-SUM(E42:E43)))</f>
        <v>18861424.979381025</v>
      </c>
      <c r="F20" s="193">
        <f>IF((SUM(F16:F19)+F14-SUM(F23:F24)-SUM(F26:F28)-SUM(F36:F39)-SUM(F42:F43))&gt;0,0,-(SUM(F16:F19)+F14-SUM(F23:F24)-SUM(F26:F28)-SUM(F36:F39)-SUM(F42:F43)))</f>
        <v>92729096.14301151</v>
      </c>
      <c r="G20" s="193">
        <f>IF((SUM(G16:G19)+G14-SUM(G23:G24)-SUM(G26:G28)-SUM(G36:G39)-SUM(G42:G43))&gt;0,0,-(SUM(G16:G19)+G14-SUM(G23:G24)-SUM(G26:G28)-SUM(G36:G39)-SUM(G42:G43)))</f>
        <v>157757617.21319219</v>
      </c>
      <c r="H20" s="193">
        <f>IF((SUM(H16:H19)+H14-SUM(H23:H24)-SUM(H26:H28)-SUM(H36:H39)-SUM(H42:H43))&gt;0,0,-(SUM(H16:H19)+H14-SUM(H23:H24)-SUM(H26:H28)-SUM(H36:H39)-SUM(H42:H43)))</f>
        <v>327384917.12475145</v>
      </c>
      <c r="I20" s="193">
        <f>IF((SUM(I16:I19)+I14-SUM(I23:I24)-SUM(I26:I28)-SUM(I36:I39)-SUM(I42:I43))&gt;0,0,-(SUM(I16:I19)+I14-SUM(I23:I24)-SUM(I26:I28)-SUM(I36:I39)-SUM(I42:I43)))</f>
        <v>534514041.42735171</v>
      </c>
    </row>
    <row r="21" spans="2:9">
      <c r="B21" s="87"/>
      <c r="C21" s="87"/>
      <c r="D21" s="92">
        <f t="shared" ref="D21:I21" si="1">SUM(D16:D20)</f>
        <v>0</v>
      </c>
      <c r="E21" s="92">
        <f t="shared" si="1"/>
        <v>20357863.854247835</v>
      </c>
      <c r="F21" s="92">
        <f t="shared" si="1"/>
        <v>98339881.446089849</v>
      </c>
      <c r="G21" s="92">
        <f t="shared" si="1"/>
        <v>163793205.67474431</v>
      </c>
      <c r="H21" s="92">
        <f t="shared" si="1"/>
        <v>339998961.09610301</v>
      </c>
      <c r="I21" s="92">
        <f t="shared" si="1"/>
        <v>550940874.10997355</v>
      </c>
    </row>
    <row r="22" spans="2:9">
      <c r="B22" s="89" t="s">
        <v>137</v>
      </c>
      <c r="C22" s="87"/>
      <c r="D22" s="90"/>
      <c r="E22" s="90"/>
      <c r="F22" s="93"/>
      <c r="G22" s="90"/>
      <c r="H22" s="79"/>
      <c r="I22" s="79"/>
    </row>
    <row r="23" spans="2:9">
      <c r="B23" s="87" t="s">
        <v>138</v>
      </c>
      <c r="C23" s="87"/>
      <c r="D23" s="193">
        <v>0</v>
      </c>
      <c r="E23" s="193">
        <f>'Working capital'!E30</f>
        <v>2992877.7497336217</v>
      </c>
      <c r="F23" s="193">
        <f>'Working capital'!F30</f>
        <v>11221570.60615667</v>
      </c>
      <c r="G23" s="193">
        <f>'Working capital'!G30</f>
        <v>12071176.92310424</v>
      </c>
      <c r="H23" s="193">
        <f>'Working capital'!H30</f>
        <v>25228087.942703132</v>
      </c>
      <c r="I23" s="193">
        <f>'Working capital'!I30</f>
        <v>32853665.365243744</v>
      </c>
    </row>
    <row r="24" spans="2:9">
      <c r="B24" s="87" t="s">
        <v>82</v>
      </c>
      <c r="C24" s="87"/>
      <c r="D24" s="193">
        <v>0</v>
      </c>
      <c r="E24" s="193">
        <f>'Working capital'!E34</f>
        <v>637233.55421411712</v>
      </c>
      <c r="F24" s="193">
        <f>'Working capital'!F34</f>
        <v>3026492.9624416414</v>
      </c>
      <c r="G24" s="193">
        <f>'Working capital'!G34</f>
        <v>5596647.715652585</v>
      </c>
      <c r="H24" s="193">
        <f>'Working capital'!H34</f>
        <v>10968128.10678646</v>
      </c>
      <c r="I24" s="193">
        <f>'Working capital'!I34</f>
        <v>17963221.024136275</v>
      </c>
    </row>
    <row r="25" spans="2:9">
      <c r="B25" s="87" t="s">
        <v>139</v>
      </c>
      <c r="C25" s="87"/>
      <c r="D25" s="196">
        <v>0</v>
      </c>
      <c r="E25" s="196">
        <f>IF((SUM(E16:E19)+E14-SUM(E23:E24)-SUM(E26:E28)-SUM(E36:E39)-SUM(E42:E43))&lt;0,0,(SUM(E16:E19)+E14-SUM(E23:E24)-SUM(E26:E28)-SUM(E36:E39)-SUM(E42:E43)))</f>
        <v>0</v>
      </c>
      <c r="F25" s="196">
        <f>IF((SUM(F16:F19)+F14-SUM(F23:F24)-SUM(F26:F28)-SUM(F36:F39)-SUM(F42:F43))&lt;0,0,(SUM(F16:F19)+F14-SUM(F23:F24)-SUM(F26:F28)-SUM(F36:F39)-SUM(F42:F43)))</f>
        <v>0</v>
      </c>
      <c r="G25" s="196">
        <f>IF((SUM(G16:G19)+G14-SUM(G23:G24)-SUM(G26:G28)-SUM(G36:G39)-SUM(G42:G43))&lt;0,0,(SUM(G16:G19)+G14-SUM(G23:G24)-SUM(G26:G28)-SUM(G36:G39)-SUM(G42:G43)))</f>
        <v>0</v>
      </c>
      <c r="H25" s="196">
        <f>IF((SUM(H16:H19)+H14-SUM(H23:H24)-SUM(H26:H28)-SUM(H36:H39)-SUM(H42:H43))&lt;0,0,(SUM(H16:H19)+H14-SUM(H23:H24)-SUM(H26:H28)-SUM(H36:H39)-SUM(H42:H43)))</f>
        <v>0</v>
      </c>
      <c r="I25" s="196">
        <f>IF((SUM(I16:I19)+I14-SUM(I23:I24)-SUM(I26:I28)-SUM(I36:I39)-SUM(I42:I43))&lt;0,0,(SUM(I16:I19)+I14-SUM(I23:I24)-SUM(I26:I28)-SUM(I36:I39)-SUM(I42:I43)))</f>
        <v>0</v>
      </c>
    </row>
    <row r="26" spans="2:9">
      <c r="B26" s="87" t="s">
        <v>140</v>
      </c>
      <c r="C26" s="87"/>
      <c r="D26" s="193">
        <f>'Loan Schedule'!C28</f>
        <v>0</v>
      </c>
      <c r="E26" s="193">
        <f>'Loan Schedule'!D28</f>
        <v>0</v>
      </c>
      <c r="F26" s="193">
        <f>'Loan Schedule'!E28</f>
        <v>0</v>
      </c>
      <c r="G26" s="193">
        <f>'Loan Schedule'!F28</f>
        <v>0</v>
      </c>
      <c r="H26" s="193">
        <f>'Loan Schedule'!G28</f>
        <v>0</v>
      </c>
      <c r="I26" s="193">
        <f>'Loan Schedule'!H28</f>
        <v>0</v>
      </c>
    </row>
    <row r="27" spans="2:9">
      <c r="B27" s="87" t="s">
        <v>514</v>
      </c>
      <c r="C27" s="87"/>
      <c r="D27" s="195">
        <f>+'Income Statement'!C30</f>
        <v>0</v>
      </c>
      <c r="E27" s="195">
        <f>+'Income Statement'!D30</f>
        <v>537057.24112788052</v>
      </c>
      <c r="F27" s="195">
        <f>+'Income Statement'!E30</f>
        <v>2118398.8407446975</v>
      </c>
      <c r="G27" s="195">
        <f>+'Income Statement'!F30</f>
        <v>3669195.4197070953</v>
      </c>
      <c r="H27" s="195">
        <f>+'Income Statement'!G30</f>
        <v>7611089.5199727453</v>
      </c>
      <c r="I27" s="195">
        <f>+'Income Statement'!H30</f>
        <v>12519078.086822247</v>
      </c>
    </row>
    <row r="28" spans="2:9">
      <c r="B28" s="87" t="s">
        <v>141</v>
      </c>
      <c r="C28" s="87"/>
      <c r="D28" s="195">
        <f>'Income Statement'!C37</f>
        <v>0.2</v>
      </c>
      <c r="E28" s="195">
        <f>'Income Statement'!D37</f>
        <v>4041725.9970048629</v>
      </c>
      <c r="F28" s="195">
        <f>'Income Statement'!E37</f>
        <v>13709479.461123291</v>
      </c>
      <c r="G28" s="195">
        <f>'Income Statement'!F37</f>
        <v>14583038.724338764</v>
      </c>
      <c r="H28" s="195">
        <f>'Income Statement'!G37</f>
        <v>33844123.743147202</v>
      </c>
      <c r="I28" s="195">
        <f>'Income Statement'!H37</f>
        <v>44791377.586262964</v>
      </c>
    </row>
    <row r="29" spans="2:9">
      <c r="B29" s="87"/>
      <c r="C29" s="87"/>
      <c r="D29" s="92">
        <f t="shared" ref="D29:I29" si="2">SUM(D23:D28)</f>
        <v>0.2</v>
      </c>
      <c r="E29" s="92">
        <f t="shared" si="2"/>
        <v>8208894.5420804825</v>
      </c>
      <c r="F29" s="92">
        <f t="shared" si="2"/>
        <v>30075941.870466299</v>
      </c>
      <c r="G29" s="92">
        <f t="shared" si="2"/>
        <v>35920058.782802686</v>
      </c>
      <c r="H29" s="92">
        <f t="shared" si="2"/>
        <v>77651429.312609524</v>
      </c>
      <c r="I29" s="92">
        <f t="shared" si="2"/>
        <v>108127342.06246524</v>
      </c>
    </row>
    <row r="30" spans="2:9">
      <c r="B30" s="89" t="s">
        <v>142</v>
      </c>
      <c r="C30" s="87"/>
      <c r="D30" s="92">
        <f t="shared" ref="D30:I30" si="3">D21-D29</f>
        <v>-0.2</v>
      </c>
      <c r="E30" s="92">
        <f t="shared" si="3"/>
        <v>12148969.312167352</v>
      </c>
      <c r="F30" s="92">
        <f t="shared" si="3"/>
        <v>68263939.575623542</v>
      </c>
      <c r="G30" s="92">
        <f t="shared" si="3"/>
        <v>127873146.89194162</v>
      </c>
      <c r="H30" s="92">
        <f t="shared" si="3"/>
        <v>262347531.78349349</v>
      </c>
      <c r="I30" s="92">
        <f t="shared" si="3"/>
        <v>442813532.0475083</v>
      </c>
    </row>
    <row r="31" spans="2:9">
      <c r="B31" s="89"/>
      <c r="C31" s="87"/>
      <c r="D31" s="94"/>
      <c r="E31" s="94"/>
      <c r="F31" s="93"/>
      <c r="G31" s="94"/>
      <c r="H31" s="79"/>
      <c r="I31" s="79"/>
    </row>
    <row r="32" spans="2:9">
      <c r="B32" s="95" t="s">
        <v>143</v>
      </c>
      <c r="C32" s="87"/>
      <c r="D32" s="92">
        <f t="shared" ref="D32:I32" si="4">+D30+D14</f>
        <v>-0.2</v>
      </c>
      <c r="E32" s="92">
        <f t="shared" si="4"/>
        <v>17683503.988019451</v>
      </c>
      <c r="F32" s="92">
        <f t="shared" si="4"/>
        <v>72438121.832512617</v>
      </c>
      <c r="G32" s="92">
        <f t="shared" si="4"/>
        <v>130686976.72986767</v>
      </c>
      <c r="H32" s="92">
        <f t="shared" si="4"/>
        <v>265980071.7024565</v>
      </c>
      <c r="I32" s="92">
        <f t="shared" si="4"/>
        <v>445062282.0475083</v>
      </c>
    </row>
    <row r="34" spans="2:9">
      <c r="D34" s="102">
        <f t="array" ref="D34">D9:H9</f>
        <v>2009</v>
      </c>
      <c r="E34" s="102">
        <f t="array" ref="E34:I34">E9:I9</f>
        <v>2009</v>
      </c>
      <c r="F34" s="102">
        <v>2010</v>
      </c>
      <c r="G34" s="102">
        <v>2011</v>
      </c>
      <c r="H34" s="102">
        <v>2012</v>
      </c>
      <c r="I34" s="102">
        <v>2013</v>
      </c>
    </row>
    <row r="35" spans="2:9">
      <c r="B35" s="95" t="s">
        <v>144</v>
      </c>
      <c r="C35" s="87"/>
      <c r="D35" s="96"/>
      <c r="E35" s="96"/>
      <c r="F35" s="96"/>
      <c r="G35" s="96"/>
      <c r="H35" s="96"/>
      <c r="I35" s="96"/>
    </row>
    <row r="36" spans="2:9">
      <c r="B36" s="87" t="s">
        <v>145</v>
      </c>
      <c r="C36" s="169">
        <v>1000000</v>
      </c>
      <c r="D36" s="194">
        <v>0</v>
      </c>
      <c r="E36" s="194">
        <f>+C36</f>
        <v>1000000</v>
      </c>
      <c r="F36" s="194">
        <f>+E36</f>
        <v>1000000</v>
      </c>
      <c r="G36" s="194">
        <f>+F36</f>
        <v>1000000</v>
      </c>
      <c r="H36" s="194">
        <f>+G36</f>
        <v>1000000</v>
      </c>
      <c r="I36" s="194">
        <f>+H36</f>
        <v>1000000</v>
      </c>
    </row>
    <row r="37" spans="2:9">
      <c r="B37" s="87" t="s">
        <v>146</v>
      </c>
      <c r="C37" s="169"/>
      <c r="D37" s="195">
        <v>0</v>
      </c>
      <c r="E37" s="195">
        <f>C37+'Income Statement'!D36</f>
        <v>100000</v>
      </c>
      <c r="F37" s="195">
        <f>E37+'Income Statement'!E36</f>
        <v>100000</v>
      </c>
      <c r="G37" s="195">
        <f>F37+'Income Statement'!F36</f>
        <v>100000</v>
      </c>
      <c r="H37" s="195">
        <f>G37+'Income Statement'!G36</f>
        <v>100000</v>
      </c>
      <c r="I37" s="195">
        <f>H37+'Income Statement'!H36</f>
        <v>100000</v>
      </c>
    </row>
    <row r="38" spans="2:9">
      <c r="B38" s="87" t="s">
        <v>147</v>
      </c>
      <c r="C38" s="169"/>
      <c r="D38" s="195">
        <v>0</v>
      </c>
      <c r="E38" s="195">
        <f>D38+'Income Statement'!D35-'Income Statement'!D36-'Income Statement'!D37</f>
        <v>16166903.988019451</v>
      </c>
      <c r="F38" s="195">
        <f>E38+'Income Statement'!E35-'Income Statement'!E36-'Income Statement'!E37</f>
        <v>71004821.832512617</v>
      </c>
      <c r="G38" s="195">
        <f>F38+'Income Statement'!F35-'Income Statement'!F36-'Income Statement'!F37</f>
        <v>129336976.72986767</v>
      </c>
      <c r="H38" s="195">
        <f>G38+'Income Statement'!G35-'Income Statement'!G36-'Income Statement'!G37</f>
        <v>264713471.70245647</v>
      </c>
      <c r="I38" s="195">
        <f>H38+'Income Statement'!H35-'Income Statement'!H36-'Income Statement'!H37</f>
        <v>443878982.04750836</v>
      </c>
    </row>
    <row r="39" spans="2:9">
      <c r="B39" s="87" t="s">
        <v>148</v>
      </c>
      <c r="C39" s="169"/>
      <c r="D39" s="194"/>
      <c r="E39" s="194">
        <f>+C39</f>
        <v>0</v>
      </c>
      <c r="F39" s="194">
        <f>+E39</f>
        <v>0</v>
      </c>
      <c r="G39" s="194">
        <f>+F39</f>
        <v>0</v>
      </c>
      <c r="H39" s="194">
        <f>+G39</f>
        <v>0</v>
      </c>
      <c r="I39" s="194">
        <f>+H39</f>
        <v>0</v>
      </c>
    </row>
    <row r="40" spans="2:9">
      <c r="B40" s="87"/>
      <c r="C40" s="87"/>
      <c r="D40" s="97">
        <f t="shared" ref="D40:I40" si="5">SUM(D36:D39)</f>
        <v>0</v>
      </c>
      <c r="E40" s="97">
        <f t="shared" si="5"/>
        <v>17266903.988019451</v>
      </c>
      <c r="F40" s="97">
        <f t="shared" si="5"/>
        <v>72104821.832512617</v>
      </c>
      <c r="G40" s="97">
        <f t="shared" si="5"/>
        <v>130436976.72986767</v>
      </c>
      <c r="H40" s="97">
        <f t="shared" si="5"/>
        <v>265813471.70245647</v>
      </c>
      <c r="I40" s="97">
        <f t="shared" si="5"/>
        <v>444978982.04750836</v>
      </c>
    </row>
    <row r="41" spans="2:9">
      <c r="B41" s="89" t="s">
        <v>149</v>
      </c>
      <c r="C41" s="87"/>
      <c r="D41" s="91"/>
      <c r="E41" s="91"/>
      <c r="F41" s="91"/>
      <c r="G41" s="91"/>
      <c r="H41" s="91"/>
      <c r="I41" s="91"/>
    </row>
    <row r="42" spans="2:9">
      <c r="B42" s="87" t="s">
        <v>150</v>
      </c>
      <c r="C42" s="87"/>
      <c r="D42" s="226">
        <v>0</v>
      </c>
      <c r="E42" s="226">
        <f>ROUNDDOWN(+'Loan Schedule'!D19-'Loan Schedule'!D21,-2)</f>
        <v>416600</v>
      </c>
      <c r="F42" s="226">
        <f>ROUNDDOWN(+'Loan Schedule'!E19-'Loan Schedule'!E21,-2)</f>
        <v>333300</v>
      </c>
      <c r="G42" s="220">
        <f>ROUNDDOWN(+'Loan Schedule'!F19-'Loan Schedule'!F21,-2)</f>
        <v>250000</v>
      </c>
      <c r="H42" s="220">
        <f>ROUNDDOWN(+'Loan Schedule'!G19-'Loan Schedule'!G21,-2)</f>
        <v>166600</v>
      </c>
      <c r="I42" s="220">
        <f>ROUNDDOWN(+'Loan Schedule'!H19-'Loan Schedule'!H21,-2)</f>
        <v>83300</v>
      </c>
    </row>
    <row r="43" spans="2:9">
      <c r="B43" s="87" t="s">
        <v>151</v>
      </c>
      <c r="C43" s="87"/>
      <c r="D43" s="221">
        <v>0</v>
      </c>
      <c r="E43" s="221">
        <v>0</v>
      </c>
      <c r="F43" s="221">
        <v>0</v>
      </c>
      <c r="G43" s="221">
        <v>0</v>
      </c>
      <c r="H43" s="221">
        <v>0</v>
      </c>
      <c r="I43" s="221">
        <v>0</v>
      </c>
    </row>
    <row r="44" spans="2:9">
      <c r="B44" s="87"/>
      <c r="C44" s="87"/>
      <c r="D44" s="92">
        <f t="shared" ref="D44:I44" si="6">SUM(D42:D43)</f>
        <v>0</v>
      </c>
      <c r="E44" s="92">
        <f t="shared" si="6"/>
        <v>416600</v>
      </c>
      <c r="F44" s="92">
        <f t="shared" si="6"/>
        <v>333300</v>
      </c>
      <c r="G44" s="92">
        <f t="shared" si="6"/>
        <v>250000</v>
      </c>
      <c r="H44" s="92">
        <f t="shared" si="6"/>
        <v>166600</v>
      </c>
      <c r="I44" s="92">
        <f t="shared" si="6"/>
        <v>83300</v>
      </c>
    </row>
    <row r="45" spans="2:9">
      <c r="B45" s="87"/>
      <c r="C45" s="87"/>
      <c r="D45" s="90"/>
      <c r="E45" s="90"/>
      <c r="F45" s="93"/>
      <c r="G45" s="90"/>
      <c r="H45" s="79"/>
      <c r="I45" s="90"/>
    </row>
    <row r="46" spans="2:9">
      <c r="B46" s="95" t="s">
        <v>65</v>
      </c>
      <c r="C46" s="87"/>
      <c r="D46" s="92">
        <f t="shared" ref="D46:I46" si="7">D40+D44</f>
        <v>0</v>
      </c>
      <c r="E46" s="92">
        <f t="shared" si="7"/>
        <v>17683503.988019451</v>
      </c>
      <c r="F46" s="92">
        <f t="shared" si="7"/>
        <v>72438121.832512617</v>
      </c>
      <c r="G46" s="92">
        <f t="shared" si="7"/>
        <v>130686976.72986767</v>
      </c>
      <c r="H46" s="92">
        <f t="shared" si="7"/>
        <v>265980071.70245647</v>
      </c>
      <c r="I46" s="92">
        <f t="shared" si="7"/>
        <v>445062282.04750836</v>
      </c>
    </row>
    <row r="47" spans="2:9">
      <c r="B47" s="79"/>
      <c r="C47" s="79"/>
      <c r="D47" s="98">
        <f t="shared" ref="D47:I47" si="8">+D46-D32</f>
        <v>0.2</v>
      </c>
      <c r="E47" s="98">
        <f t="shared" si="8"/>
        <v>0</v>
      </c>
      <c r="F47" s="98">
        <f t="shared" si="8"/>
        <v>0</v>
      </c>
      <c r="G47" s="98">
        <f t="shared" si="8"/>
        <v>0</v>
      </c>
      <c r="H47" s="98">
        <f t="shared" si="8"/>
        <v>0</v>
      </c>
      <c r="I47" s="98">
        <f t="shared" si="8"/>
        <v>0</v>
      </c>
    </row>
    <row r="48" spans="2:9" s="9" customFormat="1" ht="15.75">
      <c r="B48" s="38" t="str">
        <f>"1. "&amp;IF(toggle_1="Yes",footnote_1,"")</f>
        <v>1. Source of data: Sample Company</v>
      </c>
      <c r="C48" s="38"/>
      <c r="D48" s="38"/>
      <c r="E48" s="38"/>
      <c r="F48" s="38"/>
      <c r="G48" s="38"/>
      <c r="H48" s="38"/>
      <c r="I48" s="38"/>
    </row>
    <row r="49" spans="2:11" s="9" customFormat="1" ht="16.5" thickBot="1">
      <c r="B49" s="70" t="str">
        <f>"2. "&amp;IF(toggle_2="Yes",footnote_2,"")</f>
        <v>2. Some totals may not add due to rounding.  See Statement of Limiting Conditions.</v>
      </c>
      <c r="C49" s="70"/>
      <c r="D49" s="70"/>
      <c r="E49" s="70"/>
      <c r="F49" s="70"/>
      <c r="G49" s="70"/>
      <c r="H49" s="70"/>
      <c r="I49" s="70"/>
      <c r="J49"/>
    </row>
    <row r="50" spans="2:11" s="9" customFormat="1" ht="23.25">
      <c r="B50" s="71" t="str">
        <f>IF(toggle_3="Yes",footnote_3,"")</f>
        <v>Draft and preliminary.</v>
      </c>
      <c r="C50" s="38"/>
      <c r="D50" s="38"/>
      <c r="E50" s="38"/>
      <c r="F50" s="38"/>
      <c r="G50" s="38"/>
      <c r="H50" s="72"/>
      <c r="I50" s="72"/>
      <c r="J50"/>
    </row>
    <row r="51" spans="2:11" s="9" customFormat="1" ht="23.25">
      <c r="B51" s="71" t="str">
        <f>IF(toggle_4="Yes",footnote_4,"")</f>
        <v>All data subject to change upon completion of additional analysis.</v>
      </c>
      <c r="C51" s="38"/>
      <c r="D51" s="38"/>
      <c r="E51" s="38"/>
      <c r="F51" s="38"/>
      <c r="G51" s="38"/>
      <c r="H51" s="38"/>
      <c r="I51" s="73" t="str">
        <f>IF(toggle_5="Yes",copyright,"")</f>
        <v>© 2009 by p2w2.  All rights reserved.</v>
      </c>
      <c r="J51"/>
    </row>
    <row r="52" spans="2:11" s="9" customFormat="1" ht="23.25">
      <c r="B52" s="71"/>
      <c r="C52" s="38"/>
      <c r="D52" s="38"/>
      <c r="E52" s="38"/>
      <c r="F52" s="38"/>
      <c r="G52" s="38"/>
      <c r="H52" s="38"/>
      <c r="I52" s="38"/>
      <c r="K52" s="73"/>
    </row>
    <row r="53" spans="2:11" ht="14.25">
      <c r="B53" s="99" t="s">
        <v>152</v>
      </c>
      <c r="C53" s="79"/>
      <c r="D53" s="100">
        <f t="shared" ref="D53:I53" si="9">IF(D46=D32,"ok",+D32-D46)</f>
        <v>-0.2</v>
      </c>
      <c r="E53" s="100" t="str">
        <f t="shared" si="9"/>
        <v>ok</v>
      </c>
      <c r="F53" s="100" t="str">
        <f t="shared" si="9"/>
        <v>ok</v>
      </c>
      <c r="G53" s="100" t="str">
        <f t="shared" si="9"/>
        <v>ok</v>
      </c>
      <c r="H53" s="100">
        <f t="shared" si="9"/>
        <v>2.9802322387695313E-8</v>
      </c>
      <c r="I53" s="100" t="str">
        <f t="shared" si="9"/>
        <v>ok</v>
      </c>
    </row>
  </sheetData>
  <pageMargins left="0.75" right="0.75" top="1" bottom="1" header="0.5" footer="0.5"/>
  <pageSetup paperSize="9" scale="67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B1:J38"/>
  <sheetViews>
    <sheetView workbookViewId="0">
      <selection activeCell="A29" sqref="A29"/>
    </sheetView>
  </sheetViews>
  <sheetFormatPr defaultRowHeight="12.75"/>
  <cols>
    <col min="1" max="1" width="20.7109375" customWidth="1"/>
    <col min="3" max="3" width="26.85546875" customWidth="1"/>
    <col min="4" max="4" width="9.28515625" bestFit="1" customWidth="1"/>
    <col min="5" max="9" width="20.7109375" customWidth="1"/>
    <col min="10" max="10" width="14.7109375" customWidth="1"/>
  </cols>
  <sheetData>
    <row r="1" spans="2:10" s="64" customFormat="1" ht="46.5" customHeight="1" thickBot="1">
      <c r="B1" s="67" t="str">
        <f>co_name</f>
        <v>Sample Company</v>
      </c>
      <c r="C1" s="67"/>
      <c r="D1" s="67"/>
      <c r="E1" s="67"/>
      <c r="F1" s="67"/>
      <c r="G1" s="67"/>
      <c r="H1" s="67"/>
      <c r="I1" s="67"/>
      <c r="J1" s="86" t="str">
        <f>"Exhibit "&amp;_Exh8</f>
        <v>Exhibit 8</v>
      </c>
    </row>
    <row r="2" spans="2:10" s="9" customFormat="1" ht="18.75">
      <c r="B2" s="66" t="str">
        <f>proj_name</f>
        <v>Marine Operations Services</v>
      </c>
      <c r="I2"/>
      <c r="J2" s="68">
        <f ca="1">IF(date_toggle=1,run_date,"")</f>
        <v>39918</v>
      </c>
    </row>
    <row r="3" spans="2:10" s="9" customFormat="1" ht="18.75">
      <c r="B3" s="65" t="s">
        <v>67</v>
      </c>
      <c r="I3"/>
      <c r="J3" s="69">
        <f ca="1">IF(time_toggle=1,run_time,"")</f>
        <v>39918.566740393515</v>
      </c>
    </row>
    <row r="4" spans="2:10" s="9" customFormat="1" ht="15.75">
      <c r="B4" s="390" t="str">
        <f>curr</f>
        <v>(in US Dollars)</v>
      </c>
    </row>
    <row r="6" spans="2:10" ht="15.75" hidden="1">
      <c r="B6" s="109" t="s">
        <v>68</v>
      </c>
    </row>
    <row r="7" spans="2:10" ht="15.75" hidden="1">
      <c r="E7" s="202"/>
      <c r="F7" s="125">
        <f>first_year</f>
        <v>2009</v>
      </c>
      <c r="G7" s="125">
        <f>F7+1</f>
        <v>2010</v>
      </c>
      <c r="H7" s="125">
        <f>G7+1</f>
        <v>2011</v>
      </c>
      <c r="I7" s="125">
        <f>H7+1</f>
        <v>2012</v>
      </c>
      <c r="J7" s="125">
        <f>I7+1</f>
        <v>2013</v>
      </c>
    </row>
    <row r="8" spans="2:10" ht="15.75" hidden="1">
      <c r="B8" s="109"/>
      <c r="C8" s="108"/>
      <c r="D8" s="108"/>
      <c r="E8" s="115" t="s">
        <v>69</v>
      </c>
      <c r="F8" s="116"/>
      <c r="G8" s="116"/>
      <c r="H8" s="116"/>
      <c r="I8" s="116"/>
      <c r="J8" s="116"/>
    </row>
    <row r="9" spans="2:10" ht="15.75" hidden="1">
      <c r="B9" s="109"/>
      <c r="C9" s="108"/>
      <c r="D9" s="108" t="s">
        <v>70</v>
      </c>
      <c r="E9" s="117">
        <v>0</v>
      </c>
      <c r="F9" s="118">
        <f>$E$9*'Income Statement'!D10/365</f>
        <v>0</v>
      </c>
      <c r="G9" s="118">
        <f>$E$9*'Income Statement'!E10/365</f>
        <v>0</v>
      </c>
      <c r="H9" s="118">
        <f>$E$9*'Income Statement'!F10/365</f>
        <v>0</v>
      </c>
      <c r="I9" s="118">
        <f>$E$9*'Income Statement'!G10/365</f>
        <v>0</v>
      </c>
      <c r="J9" s="118">
        <f>$E$9*'Income Statement'!H10/365</f>
        <v>0</v>
      </c>
    </row>
    <row r="10" spans="2:10" ht="15.75" hidden="1">
      <c r="B10" s="109"/>
      <c r="C10" s="108"/>
      <c r="D10" s="108" t="s">
        <v>71</v>
      </c>
      <c r="E10" s="117">
        <v>0</v>
      </c>
      <c r="F10" s="118">
        <f>$E$10*'Income Statement'!D10/365</f>
        <v>0</v>
      </c>
      <c r="G10" s="118">
        <f>$E$10*'Income Statement'!E10/365</f>
        <v>0</v>
      </c>
      <c r="H10" s="118">
        <f>$E$10*'Income Statement'!F10/365</f>
        <v>0</v>
      </c>
      <c r="I10" s="118">
        <f>$E$10*'Income Statement'!G10/365</f>
        <v>0</v>
      </c>
      <c r="J10" s="118">
        <f>$E$10*'Income Statement'!H10/365</f>
        <v>0</v>
      </c>
    </row>
    <row r="11" spans="2:10" ht="15.75" hidden="1">
      <c r="B11" s="109"/>
      <c r="C11" s="108"/>
      <c r="D11" s="108" t="s">
        <v>72</v>
      </c>
      <c r="E11" s="148"/>
      <c r="F11" s="119"/>
      <c r="G11" s="119"/>
      <c r="H11" s="119"/>
      <c r="I11" s="119"/>
      <c r="J11" s="119"/>
    </row>
    <row r="12" spans="2:10" ht="15.75" hidden="1">
      <c r="B12" s="109"/>
      <c r="C12" s="108"/>
      <c r="D12" s="108" t="s">
        <v>64</v>
      </c>
      <c r="E12" s="148"/>
      <c r="F12" s="119"/>
      <c r="G12" s="119"/>
      <c r="H12" s="119"/>
      <c r="I12" s="119"/>
      <c r="J12" s="119"/>
    </row>
    <row r="13" spans="2:10" ht="15.75" hidden="1">
      <c r="B13" s="109"/>
      <c r="C13" s="108"/>
      <c r="D13" s="108"/>
      <c r="F13" s="120">
        <f>SUM(F9:F12)</f>
        <v>0</v>
      </c>
      <c r="G13" s="120">
        <f>SUM(G9:G12)</f>
        <v>0</v>
      </c>
      <c r="H13" s="120">
        <f>SUM(H9:H12)</f>
        <v>0</v>
      </c>
      <c r="I13" s="120">
        <f>SUM(I9:I12)</f>
        <v>0</v>
      </c>
      <c r="J13" s="120">
        <f>SUM(J9:J12)</f>
        <v>0</v>
      </c>
    </row>
    <row r="14" spans="2:10" ht="15.75">
      <c r="B14" s="148"/>
      <c r="C14" s="228"/>
      <c r="D14" s="228"/>
      <c r="E14" s="228"/>
      <c r="F14" s="228"/>
      <c r="G14" s="228"/>
      <c r="H14" s="228"/>
      <c r="I14" s="228"/>
      <c r="J14" s="228"/>
    </row>
    <row r="15" spans="2:10" ht="15.75">
      <c r="B15" s="109" t="s">
        <v>73</v>
      </c>
      <c r="C15" s="109"/>
      <c r="D15" s="109"/>
      <c r="E15" s="109"/>
      <c r="F15" s="109"/>
      <c r="G15" s="109"/>
      <c r="H15" s="109"/>
      <c r="I15" s="109"/>
      <c r="J15" s="109"/>
    </row>
    <row r="16" spans="2:10" ht="15.75">
      <c r="B16" s="121"/>
      <c r="C16" s="122"/>
      <c r="D16" s="201" t="s">
        <v>74</v>
      </c>
      <c r="E16" s="125">
        <f t="array" ref="E16:I16">F7:J7</f>
        <v>2009</v>
      </c>
      <c r="F16" s="125">
        <v>2010</v>
      </c>
      <c r="G16" s="125">
        <v>2011</v>
      </c>
      <c r="H16" s="125">
        <v>2012</v>
      </c>
      <c r="I16" s="125">
        <v>2013</v>
      </c>
    </row>
    <row r="17" spans="2:10" ht="15.75">
      <c r="B17" s="109"/>
      <c r="C17" s="108"/>
      <c r="D17" s="115" t="s">
        <v>69</v>
      </c>
      <c r="E17" s="116"/>
      <c r="F17" s="116"/>
      <c r="G17" s="116"/>
      <c r="H17" s="116"/>
      <c r="I17" s="116"/>
    </row>
    <row r="18" spans="2:10" ht="15.75">
      <c r="B18" s="109"/>
      <c r="C18" s="123" t="s">
        <v>75</v>
      </c>
      <c r="D18" s="117">
        <v>15</v>
      </c>
      <c r="E18" s="428">
        <f>$D$18*'Income Statement'!D9/365</f>
        <v>1496438.8748668109</v>
      </c>
      <c r="F18" s="428">
        <f>$D$18*'Income Statement'!E9/365</f>
        <v>5610785.3030783348</v>
      </c>
      <c r="G18" s="428">
        <f>$D$18*'Income Statement'!F9/365</f>
        <v>6035588.4615521198</v>
      </c>
      <c r="H18" s="428">
        <f>$D$18*'Income Statement'!G9/365</f>
        <v>12614043.971351566</v>
      </c>
      <c r="I18" s="428">
        <f>$D$18*'Income Statement'!H9/365</f>
        <v>16426832.682621872</v>
      </c>
    </row>
    <row r="19" spans="2:10" ht="15.75">
      <c r="B19" s="109"/>
      <c r="C19" s="123"/>
      <c r="D19" s="148"/>
      <c r="E19" s="119"/>
      <c r="F19" s="119"/>
      <c r="G19" s="119"/>
      <c r="H19" s="119"/>
      <c r="I19" s="119"/>
    </row>
    <row r="20" spans="2:10" ht="15.75">
      <c r="B20" s="109"/>
      <c r="C20" s="123"/>
      <c r="D20" s="148"/>
      <c r="E20" s="119"/>
      <c r="F20" s="119"/>
      <c r="G20" s="119"/>
      <c r="H20" s="119"/>
      <c r="I20" s="119"/>
    </row>
    <row r="21" spans="2:10" ht="15.75">
      <c r="B21" s="109"/>
      <c r="D21" s="148"/>
      <c r="E21" s="119"/>
      <c r="F21" s="119"/>
      <c r="G21" s="119"/>
      <c r="H21" s="119"/>
      <c r="I21" s="119"/>
    </row>
    <row r="22" spans="2:10" ht="15.75">
      <c r="B22" s="109"/>
      <c r="C22" s="108"/>
      <c r="E22" s="120">
        <f>SUM(E18:E21)</f>
        <v>1496438.8748668109</v>
      </c>
      <c r="F22" s="120">
        <f>SUM(F18:F21)</f>
        <v>5610785.3030783348</v>
      </c>
      <c r="G22" s="120">
        <f>SUM(G18:G21)</f>
        <v>6035588.4615521198</v>
      </c>
      <c r="H22" s="120">
        <f>SUM(H18:H21)</f>
        <v>12614043.971351566</v>
      </c>
      <c r="I22" s="120">
        <f>SUM(I18:I21)</f>
        <v>16426832.682621872</v>
      </c>
    </row>
    <row r="23" spans="2:10" ht="15.75">
      <c r="B23" s="148"/>
      <c r="C23" s="228"/>
      <c r="D23" s="228"/>
      <c r="E23" s="228"/>
      <c r="F23" s="228"/>
      <c r="G23" s="228"/>
      <c r="H23" s="228"/>
      <c r="I23" s="228"/>
      <c r="J23" s="228"/>
    </row>
    <row r="24" spans="2:10" ht="15.75">
      <c r="B24" s="109" t="s">
        <v>76</v>
      </c>
      <c r="C24" s="109"/>
      <c r="D24" s="109"/>
      <c r="E24" s="108"/>
      <c r="F24" s="108"/>
      <c r="G24" s="108"/>
      <c r="H24" s="108"/>
      <c r="I24" s="108"/>
      <c r="J24" s="108"/>
    </row>
    <row r="25" spans="2:10" ht="15.75">
      <c r="B25" s="121"/>
      <c r="C25" s="122"/>
      <c r="D25" s="201" t="s">
        <v>74</v>
      </c>
      <c r="E25" s="125">
        <f t="array" ref="E25:I25">F7:J7</f>
        <v>2009</v>
      </c>
      <c r="F25" s="125">
        <v>2010</v>
      </c>
      <c r="G25" s="125">
        <v>2011</v>
      </c>
      <c r="H25" s="125">
        <v>2012</v>
      </c>
      <c r="I25" s="125">
        <v>2013</v>
      </c>
    </row>
    <row r="26" spans="2:10" ht="15.75">
      <c r="B26" s="109"/>
      <c r="C26" s="108"/>
      <c r="D26" s="115" t="s">
        <v>69</v>
      </c>
      <c r="E26" s="116"/>
      <c r="F26" s="116"/>
      <c r="G26" s="116"/>
      <c r="H26" s="116"/>
      <c r="I26" s="116"/>
    </row>
    <row r="27" spans="2:10" ht="15.75">
      <c r="B27" s="109" t="s">
        <v>77</v>
      </c>
      <c r="C27" s="123" t="s">
        <v>78</v>
      </c>
      <c r="D27" s="117">
        <v>30</v>
      </c>
      <c r="E27" s="428">
        <f>$D$27*'Income Statement'!D9/365</f>
        <v>2992877.7497336217</v>
      </c>
      <c r="F27" s="428">
        <f>$D$27*'Income Statement'!E9/365</f>
        <v>11221570.60615667</v>
      </c>
      <c r="G27" s="428">
        <f>$D$27*'Income Statement'!F9/365</f>
        <v>12071176.92310424</v>
      </c>
      <c r="H27" s="428">
        <f>$D$27*'Income Statement'!G9/365</f>
        <v>25228087.942703132</v>
      </c>
      <c r="I27" s="428">
        <f>$D$27*'Income Statement'!H9/365</f>
        <v>32853665.365243744</v>
      </c>
    </row>
    <row r="28" spans="2:10" ht="15.75">
      <c r="B28" s="109"/>
      <c r="C28" s="123" t="s">
        <v>79</v>
      </c>
      <c r="D28" s="148"/>
      <c r="E28" s="119"/>
      <c r="F28" s="119"/>
      <c r="G28" s="119"/>
      <c r="H28" s="119"/>
      <c r="I28" s="119"/>
    </row>
    <row r="29" spans="2:10" ht="15.75">
      <c r="B29" s="109"/>
      <c r="C29" s="123" t="s">
        <v>80</v>
      </c>
      <c r="D29" s="148"/>
      <c r="E29" s="119"/>
      <c r="F29" s="119"/>
      <c r="G29" s="119"/>
      <c r="H29" s="119"/>
      <c r="I29" s="119"/>
    </row>
    <row r="30" spans="2:10" ht="15.75">
      <c r="B30" s="109"/>
      <c r="C30" s="108"/>
      <c r="D30" s="202"/>
      <c r="E30" s="120">
        <f>SUM(E27:E29)</f>
        <v>2992877.7497336217</v>
      </c>
      <c r="F30" s="120">
        <f>SUM(F27:F29)</f>
        <v>11221570.60615667</v>
      </c>
      <c r="G30" s="120">
        <f>SUM(G27:G29)</f>
        <v>12071176.92310424</v>
      </c>
      <c r="H30" s="120">
        <f>SUM(H27:H29)</f>
        <v>25228087.942703132</v>
      </c>
      <c r="I30" s="120">
        <f>SUM(I27:I29)</f>
        <v>32853665.365243744</v>
      </c>
    </row>
    <row r="31" spans="2:10" ht="15.75">
      <c r="B31" s="109"/>
      <c r="C31" s="108" t="s">
        <v>223</v>
      </c>
      <c r="D31" s="123"/>
      <c r="E31" s="123">
        <f>Balancesheet!D24</f>
        <v>0</v>
      </c>
      <c r="F31" s="123">
        <f>E34</f>
        <v>637233.55421411712</v>
      </c>
      <c r="G31" s="123">
        <f>F34</f>
        <v>3026492.9624416414</v>
      </c>
      <c r="H31" s="123">
        <f>G34</f>
        <v>5596647.715652585</v>
      </c>
      <c r="I31" s="123">
        <f>H34</f>
        <v>10968128.10678646</v>
      </c>
    </row>
    <row r="32" spans="2:10" ht="15.75">
      <c r="B32" s="109" t="s">
        <v>81</v>
      </c>
      <c r="C32" s="108" t="s">
        <v>82</v>
      </c>
      <c r="D32" s="124">
        <v>1.7500000000000002E-2</v>
      </c>
      <c r="E32" s="108">
        <f>$D$32*'Income Statement'!D9</f>
        <v>637233.55421411712</v>
      </c>
      <c r="F32" s="108">
        <f>$D$32*'Income Statement'!E9</f>
        <v>2389259.4082275243</v>
      </c>
      <c r="G32" s="108">
        <f>$D$32*'Income Statement'!F9</f>
        <v>2570154.7532109441</v>
      </c>
      <c r="H32" s="108">
        <f>$D$32*'Income Statement'!G9</f>
        <v>5371480.3911338756</v>
      </c>
      <c r="I32" s="108">
        <f>$D$32*'Income Statement'!H9</f>
        <v>6995092.9173498144</v>
      </c>
    </row>
    <row r="33" spans="2:10" ht="15.75">
      <c r="B33" s="109"/>
      <c r="C33" s="108"/>
      <c r="D33" s="115" t="s">
        <v>83</v>
      </c>
      <c r="E33" s="108"/>
      <c r="F33" s="108"/>
      <c r="G33" s="108"/>
      <c r="H33" s="108"/>
      <c r="I33" s="108"/>
    </row>
    <row r="34" spans="2:10" ht="15.75">
      <c r="B34" s="109"/>
      <c r="C34" s="108"/>
      <c r="D34" s="202"/>
      <c r="E34" s="120">
        <f>SUM(E31:E33)</f>
        <v>637233.55421411712</v>
      </c>
      <c r="F34" s="120">
        <f>SUM(F31:F33)</f>
        <v>3026492.9624416414</v>
      </c>
      <c r="G34" s="120">
        <f>SUM(G31:G33)</f>
        <v>5596647.715652585</v>
      </c>
      <c r="H34" s="120">
        <f>SUM(H31:H33)</f>
        <v>10968128.10678646</v>
      </c>
      <c r="I34" s="120">
        <f>SUM(I31:I33)</f>
        <v>17963221.024136275</v>
      </c>
    </row>
    <row r="35" spans="2:10" s="9" customFormat="1" ht="15.75">
      <c r="B35" s="38" t="str">
        <f>"1. "&amp;IF(toggle_1="Yes",footnote_1,"")</f>
        <v>1. Source of data: Sample Company</v>
      </c>
      <c r="C35" s="38"/>
      <c r="D35" s="38"/>
      <c r="E35" s="38"/>
      <c r="F35" s="38"/>
      <c r="G35" s="38"/>
      <c r="H35" s="38"/>
      <c r="I35" s="38"/>
    </row>
    <row r="36" spans="2:10" s="9" customFormat="1" ht="16.5" thickBot="1">
      <c r="B36" s="70" t="str">
        <f>"2. "&amp;IF(toggle_2="Yes",footnote_2,"")</f>
        <v>2. Some totals may not add due to rounding.  See Statement of Limiting Conditions.</v>
      </c>
      <c r="C36" s="70"/>
      <c r="D36" s="70"/>
      <c r="E36" s="70"/>
      <c r="F36" s="70"/>
      <c r="G36" s="70"/>
      <c r="H36" s="70"/>
      <c r="I36" s="70"/>
      <c r="J36" s="70"/>
    </row>
    <row r="37" spans="2:10" s="9" customFormat="1" ht="23.25">
      <c r="B37" s="71" t="str">
        <f>IF(toggle_3="Yes",footnote_3,"")</f>
        <v>Draft and preliminary.</v>
      </c>
      <c r="C37" s="38"/>
      <c r="D37" s="38"/>
      <c r="E37" s="38"/>
      <c r="F37" s="38"/>
      <c r="G37" s="38"/>
      <c r="H37" s="38"/>
      <c r="I37"/>
      <c r="J37" s="72"/>
    </row>
    <row r="38" spans="2:10" s="9" customFormat="1" ht="23.25">
      <c r="B38" s="71" t="str">
        <f>IF(toggle_4="Yes",footnote_4,"")</f>
        <v>All data subject to change upon completion of additional analysis.</v>
      </c>
      <c r="C38" s="38"/>
      <c r="D38" s="38"/>
      <c r="E38" s="38"/>
      <c r="F38" s="38"/>
      <c r="G38" s="38"/>
      <c r="H38" s="38"/>
      <c r="I38"/>
      <c r="J38" s="73" t="str">
        <f>IF(toggle_5="Yes",copyright,"")</f>
        <v>© 2009 by p2w2.  All rights reserved.</v>
      </c>
    </row>
  </sheetData>
  <pageMargins left="0.75" right="0.75" top="1" bottom="1" header="0.5" footer="0.5"/>
  <pageSetup paperSize="9" scale="72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29"/>
  <sheetViews>
    <sheetView workbookViewId="0">
      <selection activeCell="B18" sqref="B18"/>
    </sheetView>
  </sheetViews>
  <sheetFormatPr defaultRowHeight="12.75"/>
  <cols>
    <col min="1" max="1" width="20.7109375" customWidth="1"/>
    <col min="2" max="2" width="36.42578125" customWidth="1"/>
    <col min="3" max="7" width="20.7109375" customWidth="1"/>
    <col min="8" max="8" width="13.28515625" customWidth="1"/>
  </cols>
  <sheetData>
    <row r="1" spans="1:8" s="64" customFormat="1" ht="46.5" customHeight="1" thickBot="1">
      <c r="B1" s="67" t="str">
        <f>co_name</f>
        <v>Sample Company</v>
      </c>
      <c r="C1" s="86"/>
      <c r="D1" s="67"/>
      <c r="E1" s="67"/>
      <c r="F1" s="67"/>
      <c r="G1" s="67"/>
      <c r="H1" s="86" t="str">
        <f>"Exhibit "&amp;_Exh9</f>
        <v>Exhibit 9</v>
      </c>
    </row>
    <row r="2" spans="1:8" s="9" customFormat="1" ht="18.75">
      <c r="B2" s="66" t="str">
        <f>proj_name</f>
        <v>Marine Operations Services</v>
      </c>
      <c r="C2"/>
      <c r="H2" s="68">
        <f ca="1">IF(date_toggle=1,run_date,"")</f>
        <v>39918</v>
      </c>
    </row>
    <row r="3" spans="1:8" s="9" customFormat="1" ht="18.75">
      <c r="B3" s="65" t="s">
        <v>86</v>
      </c>
      <c r="C3"/>
      <c r="H3" s="69">
        <f ca="1">IF(time_toggle=1,run_time,"")</f>
        <v>39918.566740393515</v>
      </c>
    </row>
    <row r="4" spans="1:8" s="9" customFormat="1" ht="15.75">
      <c r="B4" s="390" t="str">
        <f>curr</f>
        <v>(in US Dollars)</v>
      </c>
    </row>
    <row r="7" spans="1:8">
      <c r="C7" s="269" t="s">
        <v>193</v>
      </c>
      <c r="D7" s="102">
        <f>first_year</f>
        <v>2009</v>
      </c>
      <c r="E7" s="102">
        <f>first_year+1</f>
        <v>2010</v>
      </c>
      <c r="F7" s="102">
        <f>E7+1</f>
        <v>2011</v>
      </c>
      <c r="G7" s="102">
        <f>F7+1</f>
        <v>2012</v>
      </c>
      <c r="H7" s="102">
        <f>G7+1</f>
        <v>2013</v>
      </c>
    </row>
    <row r="8" spans="1:8" ht="15.75">
      <c r="D8" s="176"/>
      <c r="E8" s="176"/>
    </row>
    <row r="9" spans="1:8" ht="15.75">
      <c r="B9" s="127" t="s">
        <v>192</v>
      </c>
      <c r="C9" s="175"/>
      <c r="D9" s="176">
        <f>Salaries!D112</f>
        <v>1743880</v>
      </c>
      <c r="E9" s="176">
        <f>Salaries!E112</f>
        <v>1963264</v>
      </c>
      <c r="F9" s="176">
        <f>Salaries!F112</f>
        <v>2445077.4499999997</v>
      </c>
      <c r="G9" s="176">
        <f>Salaries!G112</f>
        <v>2587741.585</v>
      </c>
      <c r="H9" s="176">
        <f>Salaries!H112</f>
        <v>2679069.427375</v>
      </c>
    </row>
    <row r="10" spans="1:8" ht="15.75">
      <c r="B10" s="127" t="s">
        <v>308</v>
      </c>
      <c r="C10" s="175">
        <v>0.05</v>
      </c>
      <c r="D10" s="176">
        <v>700000</v>
      </c>
      <c r="E10" s="176">
        <f>D10*(1+$C$10)</f>
        <v>735000</v>
      </c>
      <c r="F10" s="176">
        <f>E10*(1+$C$10)</f>
        <v>771750</v>
      </c>
      <c r="G10" s="176">
        <f>F10*(1+$C$10)</f>
        <v>810337.5</v>
      </c>
      <c r="H10" s="176">
        <f>G10*(1+$C$10)</f>
        <v>850854.375</v>
      </c>
    </row>
    <row r="11" spans="1:8" ht="15.75">
      <c r="B11" s="127" t="s">
        <v>496</v>
      </c>
      <c r="C11" s="175">
        <v>0.05</v>
      </c>
      <c r="D11" s="455">
        <v>150000</v>
      </c>
      <c r="E11" s="176">
        <f>D11*(1+$C$11)</f>
        <v>157500</v>
      </c>
      <c r="F11" s="176">
        <f>E11*(1+$C$11)</f>
        <v>165375</v>
      </c>
      <c r="G11" s="176">
        <f>F11*(1+$C$11)</f>
        <v>173643.75</v>
      </c>
      <c r="H11" s="176">
        <f>G11*(1+$C$11)</f>
        <v>182325.9375</v>
      </c>
    </row>
    <row r="12" spans="1:8" ht="15.75">
      <c r="B12" s="127" t="s">
        <v>284</v>
      </c>
      <c r="C12" s="175">
        <v>0.1</v>
      </c>
      <c r="D12" s="277">
        <v>800000</v>
      </c>
      <c r="E12" s="192">
        <f>(1+$C$12)*D12</f>
        <v>880000.00000000012</v>
      </c>
      <c r="F12" s="192">
        <f>(1+$C$12)*E12</f>
        <v>968000.00000000023</v>
      </c>
      <c r="G12" s="192">
        <f>(1+$C$12)*F12</f>
        <v>1064800.0000000002</v>
      </c>
      <c r="H12" s="192">
        <f>(1+$C$12)*G12</f>
        <v>1171280.0000000005</v>
      </c>
    </row>
    <row r="13" spans="1:8" ht="15.75">
      <c r="B13" s="127" t="s">
        <v>286</v>
      </c>
      <c r="C13" s="175"/>
      <c r="D13" s="176">
        <f>'Travel &amp; Comm,Office Supplies'!D25</f>
        <v>605817.04891304346</v>
      </c>
      <c r="E13" s="176">
        <f>'Travel &amp; Comm,Office Supplies'!E25</f>
        <v>1218263.8064516129</v>
      </c>
      <c r="F13" s="176">
        <f>'Travel &amp; Comm,Office Supplies'!F25</f>
        <v>1061794.5697674421</v>
      </c>
      <c r="G13" s="176">
        <f>'Travel &amp; Comm,Office Supplies'!G25</f>
        <v>1988332.5</v>
      </c>
      <c r="H13" s="176">
        <f>'Travel &amp; Comm,Office Supplies'!H25</f>
        <v>2503108.7068965519</v>
      </c>
    </row>
    <row r="14" spans="1:8" ht="15.75">
      <c r="B14" s="127" t="s">
        <v>395</v>
      </c>
      <c r="C14" s="175">
        <v>0.05</v>
      </c>
      <c r="D14" s="277">
        <v>1000000</v>
      </c>
      <c r="E14" s="268">
        <f>(1+$C14)*D14</f>
        <v>1050000</v>
      </c>
      <c r="F14" s="268">
        <f>(1+$C14)*E14</f>
        <v>1102500</v>
      </c>
      <c r="G14" s="268">
        <f>(1+$C14)*F14</f>
        <v>1157625</v>
      </c>
      <c r="H14" s="268">
        <f>(1+$C14)*G14</f>
        <v>1215506.25</v>
      </c>
    </row>
    <row r="15" spans="1:8" ht="15.75">
      <c r="A15" s="273"/>
      <c r="B15" s="127" t="s">
        <v>87</v>
      </c>
      <c r="C15" s="175"/>
      <c r="D15" s="176">
        <f>'Travel &amp; Comm,Office Supplies'!D13</f>
        <v>840000</v>
      </c>
      <c r="E15" s="176">
        <f>'Travel &amp; Comm,Office Supplies'!E13</f>
        <v>2160000</v>
      </c>
      <c r="F15" s="176">
        <f>'Travel &amp; Comm,Office Supplies'!F13</f>
        <v>3120000</v>
      </c>
      <c r="G15" s="176">
        <f>'Travel &amp; Comm,Office Supplies'!G13</f>
        <v>3360000</v>
      </c>
      <c r="H15" s="176">
        <f>'Travel &amp; Comm,Office Supplies'!H13</f>
        <v>3840000</v>
      </c>
    </row>
    <row r="16" spans="1:8" ht="15.75">
      <c r="A16" s="273"/>
      <c r="B16" s="127" t="s">
        <v>387</v>
      </c>
      <c r="C16" s="175">
        <v>0.05</v>
      </c>
      <c r="D16" s="277">
        <v>100000</v>
      </c>
      <c r="E16" s="268">
        <f t="shared" ref="E16:H17" si="0">(1+$C16)*D16</f>
        <v>105000</v>
      </c>
      <c r="F16" s="268">
        <f t="shared" si="0"/>
        <v>110250</v>
      </c>
      <c r="G16" s="268">
        <f t="shared" si="0"/>
        <v>115762.5</v>
      </c>
      <c r="H16" s="268">
        <f t="shared" si="0"/>
        <v>121550.625</v>
      </c>
    </row>
    <row r="17" spans="2:8" ht="15.75">
      <c r="B17" s="127" t="s">
        <v>388</v>
      </c>
      <c r="C17" s="175">
        <v>0.05</v>
      </c>
      <c r="D17" s="277">
        <f>5000*12*USDSR</f>
        <v>545623.19279999996</v>
      </c>
      <c r="E17" s="268">
        <f t="shared" si="0"/>
        <v>572904.35243999993</v>
      </c>
      <c r="F17" s="268">
        <f t="shared" si="0"/>
        <v>601549.57006199996</v>
      </c>
      <c r="G17" s="268">
        <f t="shared" si="0"/>
        <v>631627.04856509995</v>
      </c>
      <c r="H17" s="268">
        <f t="shared" si="0"/>
        <v>663208.40099335497</v>
      </c>
    </row>
    <row r="18" spans="2:8" ht="15.75">
      <c r="B18" s="127" t="s">
        <v>309</v>
      </c>
      <c r="C18" s="175"/>
      <c r="D18" s="176">
        <f>0.01*2000000</f>
        <v>20000</v>
      </c>
      <c r="E18" s="176">
        <f>0.01*2000000</f>
        <v>20000</v>
      </c>
      <c r="F18" s="176">
        <f>0.01*2000000</f>
        <v>20000</v>
      </c>
      <c r="G18" s="176">
        <f>0.01*2000000</f>
        <v>20000</v>
      </c>
      <c r="H18" s="176">
        <f>0.01*2000000</f>
        <v>20000</v>
      </c>
    </row>
    <row r="19" spans="2:8" ht="15.75">
      <c r="B19" s="127" t="s">
        <v>310</v>
      </c>
      <c r="C19" s="175"/>
      <c r="D19" s="176">
        <f>0.01*'Fixed Assets Sch'!E42</f>
        <v>29881.25</v>
      </c>
      <c r="E19" s="176">
        <f>0.01*'Fixed Assets Sch'!F42</f>
        <v>22643.75</v>
      </c>
      <c r="F19" s="176">
        <f>0.01*'Fixed Assets Sch'!G42</f>
        <v>15406.25</v>
      </c>
      <c r="G19" s="176">
        <f>0.01*'Fixed Assets Sch'!H42</f>
        <v>29959.375</v>
      </c>
      <c r="H19" s="176">
        <f>0.01*'Fixed Assets Sch'!I42</f>
        <v>22487.5</v>
      </c>
    </row>
    <row r="20" spans="2:8" ht="15.75">
      <c r="B20" s="127" t="s">
        <v>82</v>
      </c>
      <c r="C20" s="175"/>
      <c r="D20" s="176">
        <f>'Working capital'!E32</f>
        <v>637233.55421411712</v>
      </c>
      <c r="E20" s="176">
        <f>'Working capital'!F32</f>
        <v>2389259.4082275243</v>
      </c>
      <c r="F20" s="176">
        <f>'Working capital'!G32</f>
        <v>2570154.7532109441</v>
      </c>
      <c r="G20" s="176">
        <f>'Working capital'!H32</f>
        <v>5371480.3911338756</v>
      </c>
      <c r="H20" s="176">
        <f>'Working capital'!I32</f>
        <v>6995092.9173498144</v>
      </c>
    </row>
    <row r="21" spans="2:8" ht="15.75">
      <c r="B21" s="127" t="s">
        <v>497</v>
      </c>
      <c r="C21" s="175"/>
      <c r="D21" s="455">
        <v>50000</v>
      </c>
      <c r="E21" s="176"/>
      <c r="F21" s="176"/>
      <c r="G21" s="176"/>
      <c r="H21" s="176"/>
    </row>
    <row r="22" spans="2:8" ht="15.75">
      <c r="B22" s="127" t="s">
        <v>22</v>
      </c>
      <c r="C22" s="176"/>
      <c r="D22" s="176">
        <f>'Fixed Assets Sch'!E38</f>
        <v>361875</v>
      </c>
      <c r="E22" s="176">
        <f>'Fixed Assets Sch'!F38</f>
        <v>723750</v>
      </c>
      <c r="F22" s="176">
        <f>'Fixed Assets Sch'!G38</f>
        <v>723750</v>
      </c>
      <c r="G22" s="176">
        <f>'Fixed Assets Sch'!H38</f>
        <v>957187.5</v>
      </c>
      <c r="H22" s="176">
        <f>'Fixed Assets Sch'!I38</f>
        <v>747187.5</v>
      </c>
    </row>
    <row r="23" spans="2:8" ht="15.75">
      <c r="B23" s="128" t="s">
        <v>65</v>
      </c>
      <c r="C23" s="177"/>
      <c r="D23" s="177">
        <f>SUM(D8:D22)*Assumptions!$C$9</f>
        <v>1896077.5114817901</v>
      </c>
      <c r="E23" s="177">
        <f>SUM(E9:E22)</f>
        <v>11997585.317119136</v>
      </c>
      <c r="F23" s="177">
        <f>SUM(F9:F22)</f>
        <v>13675607.593040388</v>
      </c>
      <c r="G23" s="177">
        <f>SUM(G9:G22)</f>
        <v>18268497.149698976</v>
      </c>
      <c r="H23" s="177">
        <f>SUM(H9:H22)</f>
        <v>21011671.640114721</v>
      </c>
    </row>
    <row r="24" spans="2:8" ht="15.75">
      <c r="B24" s="38"/>
      <c r="D24" s="81"/>
      <c r="E24" s="81"/>
      <c r="F24" s="81"/>
      <c r="G24" s="81"/>
      <c r="H24" s="81"/>
    </row>
    <row r="25" spans="2:8" ht="15.75">
      <c r="B25" s="38"/>
      <c r="D25" s="81"/>
      <c r="E25" s="81"/>
      <c r="F25" s="81"/>
      <c r="G25" s="81"/>
      <c r="H25" s="81"/>
    </row>
    <row r="26" spans="2:8" s="9" customFormat="1" ht="15.75">
      <c r="B26" s="38" t="str">
        <f>"1. "&amp;IF(toggle_1="Yes",footnote_1,"")</f>
        <v>1. Source of data: Sample Company</v>
      </c>
      <c r="C26" s="38"/>
      <c r="D26" s="38"/>
      <c r="E26" s="38"/>
      <c r="F26" s="38"/>
      <c r="G26" s="38"/>
      <c r="H26" s="38"/>
    </row>
    <row r="27" spans="2:8" s="9" customFormat="1" ht="16.5" thickBot="1">
      <c r="B27" s="70" t="str">
        <f>"2. "&amp;IF(toggle_2="Yes",footnote_2,"")</f>
        <v>2. Some totals may not add due to rounding.  See Statement of Limiting Conditions.</v>
      </c>
      <c r="C27" s="70"/>
      <c r="D27" s="70"/>
      <c r="E27" s="70"/>
      <c r="F27" s="70"/>
      <c r="G27" s="70"/>
      <c r="H27" s="70"/>
    </row>
    <row r="28" spans="2:8" s="9" customFormat="1" ht="23.25">
      <c r="B28" s="71" t="str">
        <f>IF(toggle_3="Yes",footnote_3,"")</f>
        <v>Draft and preliminary.</v>
      </c>
      <c r="C28"/>
      <c r="D28" s="38"/>
      <c r="E28" s="38"/>
      <c r="F28" s="38"/>
      <c r="G28" s="38"/>
      <c r="H28" s="72"/>
    </row>
    <row r="29" spans="2:8" s="9" customFormat="1" ht="23.25">
      <c r="B29" s="71" t="str">
        <f>IF(toggle_4="Yes",footnote_4,"")</f>
        <v>All data subject to change upon completion of additional analysis.</v>
      </c>
      <c r="C29"/>
      <c r="D29" s="38"/>
      <c r="E29" s="38"/>
      <c r="F29" s="38"/>
      <c r="G29" s="38"/>
      <c r="H29" s="73" t="str">
        <f>IF(toggle_5="Yes",copyright,"")</f>
        <v>© 2009 by p2w2.  All rights reserved.</v>
      </c>
    </row>
  </sheetData>
  <pageMargins left="0.75" right="0.75" top="1" bottom="1" header="0.5" footer="0.5"/>
  <pageSetup paperSize="9" scale="72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41"/>
  <sheetViews>
    <sheetView topLeftCell="A36" workbookViewId="0">
      <selection activeCell="C63" sqref="C63"/>
    </sheetView>
  </sheetViews>
  <sheetFormatPr defaultRowHeight="12.75"/>
  <cols>
    <col min="1" max="1" width="20.5703125" customWidth="1"/>
    <col min="2" max="2" width="29.7109375" customWidth="1"/>
    <col min="3" max="3" width="28.140625" bestFit="1" customWidth="1"/>
    <col min="4" max="8" width="19.5703125" customWidth="1"/>
    <col min="9" max="9" width="13.85546875" customWidth="1"/>
  </cols>
  <sheetData>
    <row r="1" spans="2:14" s="64" customFormat="1" ht="46.5" customHeight="1" thickBot="1">
      <c r="B1" s="67" t="str">
        <f>co_name</f>
        <v>Sample Company</v>
      </c>
      <c r="C1" s="86"/>
      <c r="D1" s="255"/>
      <c r="E1" s="255"/>
      <c r="F1" s="255"/>
      <c r="G1" s="255"/>
      <c r="H1" s="255"/>
      <c r="I1" s="255" t="str">
        <f>"Exhibit "&amp;_Exh10</f>
        <v>Exhibit 10</v>
      </c>
    </row>
    <row r="2" spans="2:14" s="9" customFormat="1" ht="18.75">
      <c r="B2" s="66" t="str">
        <f>proj_name</f>
        <v>Marine Operations Services</v>
      </c>
      <c r="C2"/>
      <c r="I2" s="68">
        <f ca="1">IF(date_toggle=1,run_date,"")</f>
        <v>39918</v>
      </c>
    </row>
    <row r="3" spans="2:14" s="9" customFormat="1" ht="18.75">
      <c r="B3" s="65" t="s">
        <v>342</v>
      </c>
      <c r="C3"/>
      <c r="I3" s="69">
        <f ca="1">IF(time_toggle=1,run_time,"")</f>
        <v>39918.566740393515</v>
      </c>
    </row>
    <row r="4" spans="2:14" s="9" customFormat="1" ht="15.75">
      <c r="B4" s="390" t="str">
        <f>curr</f>
        <v>(in US Dollars)</v>
      </c>
    </row>
    <row r="6" spans="2:14" s="273" customFormat="1">
      <c r="B6" s="362" t="s">
        <v>355</v>
      </c>
      <c r="C6" s="363">
        <v>0.2</v>
      </c>
    </row>
    <row r="7" spans="2:14" s="364" customFormat="1" ht="13.5" thickBot="1">
      <c r="B7" s="389" t="s">
        <v>297</v>
      </c>
      <c r="E7" s="273"/>
      <c r="F7" s="273"/>
      <c r="G7" s="273"/>
      <c r="H7" s="273"/>
      <c r="I7" s="273"/>
    </row>
    <row r="8" spans="2:14" s="362" customFormat="1" ht="13.5" thickBot="1">
      <c r="B8" s="364" t="s">
        <v>293</v>
      </c>
      <c r="C8" s="364" t="s">
        <v>294</v>
      </c>
      <c r="D8" s="377">
        <f>first_year_local</f>
        <v>2009</v>
      </c>
      <c r="E8" s="378">
        <f>D8+1</f>
        <v>2010</v>
      </c>
      <c r="F8" s="378">
        <f>E8+1</f>
        <v>2011</v>
      </c>
      <c r="G8" s="378">
        <f>F8+1</f>
        <v>2012</v>
      </c>
      <c r="H8" s="379">
        <f>G8+1</f>
        <v>2013</v>
      </c>
      <c r="J8" s="310"/>
      <c r="K8" s="310"/>
      <c r="L8" s="310"/>
      <c r="M8" s="310"/>
      <c r="N8" s="310"/>
    </row>
    <row r="9" spans="2:14" s="362" customFormat="1">
      <c r="B9" s="362" t="s">
        <v>295</v>
      </c>
      <c r="C9" s="365"/>
      <c r="D9" s="374">
        <f>($C9)*$C$6*Assumptions!D$28</f>
        <v>0</v>
      </c>
      <c r="E9" s="375">
        <f>($C9)*$C$6*Assumptions!E$28</f>
        <v>0</v>
      </c>
      <c r="F9" s="375">
        <f>($C9)*$C$6*Assumptions!F$28</f>
        <v>0</v>
      </c>
      <c r="G9" s="375">
        <f>($C9)*$C$6*Assumptions!G$28</f>
        <v>0</v>
      </c>
      <c r="H9" s="376">
        <f>($C9)*$C$6*Assumptions!H$28</f>
        <v>0</v>
      </c>
      <c r="J9" s="310"/>
      <c r="K9" s="310"/>
      <c r="L9" s="310"/>
      <c r="M9" s="310"/>
      <c r="N9" s="310"/>
    </row>
    <row r="10" spans="2:14" s="362" customFormat="1">
      <c r="B10" s="362" t="s">
        <v>195</v>
      </c>
      <c r="C10" s="365"/>
      <c r="D10" s="368">
        <f>($C10)*$C$6*Assumptions!D$28</f>
        <v>0</v>
      </c>
      <c r="E10" s="367">
        <f>($C10)*$C$6*Assumptions!E$28</f>
        <v>0</v>
      </c>
      <c r="F10" s="367">
        <f>($C10)*$C$6*Assumptions!F$28</f>
        <v>0</v>
      </c>
      <c r="G10" s="367">
        <f>($C10)*$C$6*Assumptions!G$28</f>
        <v>0</v>
      </c>
      <c r="H10" s="369">
        <f>($C10)*$C$6*Assumptions!H$28</f>
        <v>0</v>
      </c>
      <c r="J10" s="310"/>
      <c r="K10" s="310"/>
      <c r="L10" s="310"/>
      <c r="M10" s="310"/>
      <c r="N10" s="310"/>
    </row>
    <row r="11" spans="2:14" s="362" customFormat="1">
      <c r="B11" s="362" t="s">
        <v>283</v>
      </c>
      <c r="C11" s="469">
        <v>20000</v>
      </c>
      <c r="D11" s="368">
        <f>$C$11*Salaries!D38*12</f>
        <v>480000</v>
      </c>
      <c r="E11" s="368">
        <f>$C$11*Salaries!E38*12</f>
        <v>720000</v>
      </c>
      <c r="F11" s="368">
        <f>$C$11*Salaries!F38*12</f>
        <v>1200000</v>
      </c>
      <c r="G11" s="368">
        <f>$C$11*Salaries!G38*12</f>
        <v>1440000</v>
      </c>
      <c r="H11" s="368">
        <f>$C$11*Salaries!H38*12</f>
        <v>1920000</v>
      </c>
      <c r="J11" s="310"/>
      <c r="K11" s="310"/>
      <c r="L11" s="310"/>
      <c r="M11" s="310"/>
      <c r="N11" s="310"/>
    </row>
    <row r="12" spans="2:14" s="362" customFormat="1" ht="13.5" thickBot="1">
      <c r="B12" s="362" t="s">
        <v>275</v>
      </c>
      <c r="C12" s="469">
        <v>20000</v>
      </c>
      <c r="D12" s="368">
        <f>$C$12*Salaries!D49*12</f>
        <v>1200000</v>
      </c>
      <c r="E12" s="368">
        <f>$C$12*Salaries!E49*12</f>
        <v>1440000</v>
      </c>
      <c r="F12" s="368">
        <f>$C$12*Salaries!F49*12</f>
        <v>1920000</v>
      </c>
      <c r="G12" s="368">
        <f>$C$12*Salaries!G49*12</f>
        <v>1920000</v>
      </c>
      <c r="H12" s="368">
        <f>$C$12*Salaries!H49*12</f>
        <v>1920000</v>
      </c>
      <c r="J12" s="310"/>
      <c r="K12" s="310"/>
      <c r="L12" s="310"/>
      <c r="M12" s="310"/>
      <c r="N12" s="310"/>
    </row>
    <row r="13" spans="2:14" s="362" customFormat="1" ht="13.5" thickBot="1">
      <c r="D13" s="371">
        <f>SUM(D10:D12)*Assumptions!C7</f>
        <v>840000</v>
      </c>
      <c r="E13" s="372">
        <f>SUM(E10:E12)</f>
        <v>2160000</v>
      </c>
      <c r="F13" s="372">
        <f>SUM(F10:F12)</f>
        <v>3120000</v>
      </c>
      <c r="G13" s="372">
        <f>SUM(G10:G12)</f>
        <v>3360000</v>
      </c>
      <c r="H13" s="373">
        <f>SUM(H10:H12)</f>
        <v>3840000</v>
      </c>
      <c r="J13" s="310"/>
      <c r="K13" s="310"/>
      <c r="L13" s="310"/>
      <c r="M13" s="310"/>
      <c r="N13" s="310"/>
    </row>
    <row r="14" spans="2:14" s="362" customFormat="1">
      <c r="I14" s="310"/>
      <c r="J14" s="310"/>
      <c r="K14" s="310"/>
      <c r="L14" s="310"/>
      <c r="M14" s="310"/>
      <c r="N14" s="310"/>
    </row>
    <row r="15" spans="2:14" s="362" customFormat="1" ht="13.5" thickBot="1">
      <c r="B15" s="389" t="s">
        <v>298</v>
      </c>
      <c r="I15" s="310"/>
      <c r="J15" s="310"/>
      <c r="K15" s="310"/>
      <c r="L15" s="310"/>
      <c r="M15" s="310"/>
      <c r="N15" s="310"/>
    </row>
    <row r="16" spans="2:14" s="362" customFormat="1" ht="13.5" thickBot="1">
      <c r="B16" s="364" t="s">
        <v>293</v>
      </c>
      <c r="C16" s="364" t="s">
        <v>296</v>
      </c>
      <c r="D16" s="377">
        <f>first_year_local</f>
        <v>2009</v>
      </c>
      <c r="E16" s="378">
        <f>D16+1</f>
        <v>2010</v>
      </c>
      <c r="F16" s="378">
        <f>E16+1</f>
        <v>2011</v>
      </c>
      <c r="G16" s="378">
        <f>F16+1</f>
        <v>2012</v>
      </c>
      <c r="H16" s="379">
        <f>G16+1</f>
        <v>2013</v>
      </c>
      <c r="I16" s="310"/>
      <c r="J16" s="310"/>
      <c r="K16" s="310"/>
      <c r="L16" s="310"/>
      <c r="M16" s="310"/>
      <c r="N16" s="310"/>
    </row>
    <row r="17" spans="2:14" s="362" customFormat="1">
      <c r="B17" s="362" t="s">
        <v>365</v>
      </c>
      <c r="C17" s="469">
        <v>90</v>
      </c>
      <c r="D17" s="374">
        <f>$C17*Assumptions!D$28</f>
        <v>569817.04891304346</v>
      </c>
      <c r="E17" s="375">
        <f>($C17)*Assumptions!E$28</f>
        <v>1173263.8064516129</v>
      </c>
      <c r="F17" s="375">
        <f>($C17)*Assumptions!F$28</f>
        <v>998794.56976744195</v>
      </c>
      <c r="G17" s="375">
        <f>($C17)*Assumptions!G$28</f>
        <v>1922332.5</v>
      </c>
      <c r="H17" s="376">
        <f>($C17)*Assumptions!H$28</f>
        <v>2431108.7068965519</v>
      </c>
      <c r="I17" s="310"/>
      <c r="J17" s="310"/>
      <c r="K17" s="310"/>
      <c r="L17" s="310"/>
      <c r="M17" s="310"/>
      <c r="N17" s="310"/>
    </row>
    <row r="18" spans="2:14" s="362" customFormat="1">
      <c r="B18" s="424" t="s">
        <v>473</v>
      </c>
      <c r="C18" s="366"/>
      <c r="D18" s="368">
        <f>D$17*Salaries!D10/Salaries!D$9</f>
        <v>438835.68339247891</v>
      </c>
      <c r="E18" s="368">
        <f>E$17*Salaries!E10/Salaries!E$9</f>
        <v>810441.25181521953</v>
      </c>
      <c r="F18" s="367">
        <f>F$17*Salaries!F10/Salaries!F$9</f>
        <v>571665.23742506141</v>
      </c>
      <c r="G18" s="367">
        <f>G$17*Salaries!G10/Salaries!G$9</f>
        <v>944038.26193777274</v>
      </c>
      <c r="H18" s="369">
        <f>H$17*Salaries!H10/Salaries!H$9</f>
        <v>1032945.3009486723</v>
      </c>
      <c r="I18" s="310"/>
      <c r="J18" s="310"/>
      <c r="K18" s="310"/>
      <c r="L18" s="310"/>
      <c r="M18" s="310"/>
      <c r="N18" s="310"/>
    </row>
    <row r="19" spans="2:14" s="362" customFormat="1">
      <c r="B19" s="424" t="s">
        <v>364</v>
      </c>
      <c r="C19" s="366"/>
      <c r="D19" s="368">
        <f>D$17*Salaries!D11/Salaries!D$9</f>
        <v>130981.36552056455</v>
      </c>
      <c r="E19" s="368">
        <f>E$17*Salaries!E11/Salaries!E$9</f>
        <v>362822.55463639332</v>
      </c>
      <c r="F19" s="367">
        <f>F$17*Salaries!F11/Salaries!F$9</f>
        <v>427129.33234238054</v>
      </c>
      <c r="G19" s="367">
        <f>G$17*Salaries!G11/Salaries!G$9</f>
        <v>978294.23806222738</v>
      </c>
      <c r="H19" s="369">
        <f>H$17*Salaries!H11/Salaries!H$9</f>
        <v>1398163.4059478797</v>
      </c>
      <c r="I19" s="310"/>
      <c r="J19" s="310"/>
      <c r="K19" s="310"/>
      <c r="L19" s="310"/>
      <c r="M19" s="310"/>
      <c r="N19" s="310"/>
    </row>
    <row r="20" spans="2:14" s="362" customFormat="1">
      <c r="B20" s="424" t="s">
        <v>437</v>
      </c>
      <c r="C20" s="469">
        <v>3000</v>
      </c>
      <c r="D20" s="368">
        <f>Salaries!D26*$C20</f>
        <v>0</v>
      </c>
      <c r="E20" s="368">
        <f>Salaries!E26*$C20</f>
        <v>0</v>
      </c>
      <c r="F20" s="368">
        <f>Salaries!F26*$C20</f>
        <v>6000</v>
      </c>
      <c r="G20" s="368">
        <f>Salaries!G26*$C20</f>
        <v>6000</v>
      </c>
      <c r="H20" s="368">
        <f>Salaries!H26*$C20</f>
        <v>6000</v>
      </c>
      <c r="I20" s="310"/>
      <c r="J20" s="310"/>
      <c r="K20" s="310"/>
      <c r="L20" s="310"/>
      <c r="M20" s="310"/>
      <c r="N20" s="310"/>
    </row>
    <row r="21" spans="2:14" s="362" customFormat="1">
      <c r="B21" s="424"/>
      <c r="C21" s="366"/>
      <c r="D21" s="374"/>
      <c r="E21" s="375"/>
      <c r="F21" s="375"/>
      <c r="G21" s="375"/>
      <c r="H21" s="376"/>
      <c r="I21" s="310"/>
      <c r="J21" s="310"/>
      <c r="K21" s="310"/>
      <c r="L21" s="310"/>
      <c r="M21" s="310"/>
      <c r="N21" s="310"/>
    </row>
    <row r="22" spans="2:14" s="362" customFormat="1">
      <c r="B22" s="362" t="s">
        <v>195</v>
      </c>
      <c r="C22" s="469">
        <v>3000</v>
      </c>
      <c r="D22" s="368">
        <f>($C22)*Salaries!D49</f>
        <v>15000</v>
      </c>
      <c r="E22" s="368">
        <f>($C22)*Salaries!E49</f>
        <v>18000</v>
      </c>
      <c r="F22" s="368">
        <f>($C22)*Salaries!F49</f>
        <v>24000</v>
      </c>
      <c r="G22" s="368">
        <f>($C22)*Salaries!G49</f>
        <v>24000</v>
      </c>
      <c r="H22" s="368">
        <f>($C22)*Salaries!H49</f>
        <v>24000</v>
      </c>
      <c r="I22" s="310"/>
      <c r="J22" s="310"/>
      <c r="K22" s="310"/>
      <c r="L22" s="310"/>
      <c r="M22" s="310"/>
      <c r="N22" s="310"/>
    </row>
    <row r="23" spans="2:14" s="362" customFormat="1">
      <c r="B23" s="362" t="s">
        <v>283</v>
      </c>
      <c r="C23" s="469">
        <v>3000</v>
      </c>
      <c r="D23" s="370">
        <f>($C23)*Salaries!D38</f>
        <v>6000</v>
      </c>
      <c r="E23" s="370">
        <f>($C23)*Salaries!E38</f>
        <v>9000</v>
      </c>
      <c r="F23" s="370">
        <f>($C23)*Salaries!F38</f>
        <v>15000</v>
      </c>
      <c r="G23" s="370">
        <f>($C23)*Salaries!G38</f>
        <v>18000</v>
      </c>
      <c r="H23" s="370">
        <f>($C23)*Salaries!H38</f>
        <v>24000</v>
      </c>
      <c r="I23" s="310"/>
      <c r="J23" s="310"/>
      <c r="K23" s="310"/>
      <c r="L23" s="310"/>
      <c r="M23" s="310"/>
      <c r="N23" s="310"/>
    </row>
    <row r="24" spans="2:14" s="362" customFormat="1" ht="13.5" thickBot="1">
      <c r="B24" s="362" t="s">
        <v>275</v>
      </c>
      <c r="C24" s="469">
        <v>3000</v>
      </c>
      <c r="D24" s="370">
        <f>($C24)*Salaries!D49</f>
        <v>15000</v>
      </c>
      <c r="E24" s="370">
        <f>($C24)*Salaries!E49</f>
        <v>18000</v>
      </c>
      <c r="F24" s="370">
        <f>($C24)*Salaries!F49</f>
        <v>24000</v>
      </c>
      <c r="G24" s="370">
        <f>($C24)*Salaries!G49</f>
        <v>24000</v>
      </c>
      <c r="H24" s="370">
        <f>($C24)*Salaries!H49</f>
        <v>24000</v>
      </c>
      <c r="I24" s="310"/>
      <c r="J24" s="310"/>
      <c r="K24" s="310"/>
      <c r="L24" s="310"/>
      <c r="M24" s="310"/>
      <c r="N24" s="310"/>
    </row>
    <row r="25" spans="2:14" s="362" customFormat="1" ht="13.5" thickBot="1">
      <c r="D25" s="371">
        <f>SUM(D17,D22:D24)</f>
        <v>605817.04891304346</v>
      </c>
      <c r="E25" s="371">
        <f>SUM(E17,E22:E24)</f>
        <v>1218263.8064516129</v>
      </c>
      <c r="F25" s="371">
        <f>SUM(F17,F22:F24)</f>
        <v>1061794.5697674421</v>
      </c>
      <c r="G25" s="371">
        <f>SUM(G17,G22:G24)</f>
        <v>1988332.5</v>
      </c>
      <c r="H25" s="371">
        <f>SUM(H17,H22:H24)</f>
        <v>2503108.7068965519</v>
      </c>
      <c r="I25" s="310"/>
      <c r="J25" s="310"/>
      <c r="K25" s="310"/>
      <c r="L25" s="310"/>
      <c r="M25" s="310"/>
      <c r="N25" s="310"/>
    </row>
    <row r="26" spans="2:14" s="362" customFormat="1" ht="13.5" thickBot="1">
      <c r="D26" s="425"/>
      <c r="E26" s="425"/>
      <c r="F26" s="425"/>
      <c r="G26" s="425"/>
      <c r="H26" s="425"/>
      <c r="I26" s="310"/>
      <c r="J26" s="310"/>
      <c r="K26" s="310"/>
      <c r="L26" s="310"/>
      <c r="M26" s="310"/>
      <c r="N26" s="310"/>
    </row>
    <row r="27" spans="2:14" s="362" customFormat="1" ht="13.5" thickBot="1">
      <c r="B27" s="389" t="s">
        <v>366</v>
      </c>
      <c r="D27" s="377">
        <f>first_year_local</f>
        <v>2009</v>
      </c>
      <c r="E27" s="378">
        <f>D27+1</f>
        <v>2010</v>
      </c>
      <c r="F27" s="378">
        <f>E27+1</f>
        <v>2011</v>
      </c>
      <c r="G27" s="378">
        <f>F27+1</f>
        <v>2012</v>
      </c>
      <c r="H27" s="379">
        <f>G27+1</f>
        <v>2013</v>
      </c>
      <c r="I27" s="310"/>
      <c r="J27" s="310"/>
      <c r="K27" s="310"/>
      <c r="L27" s="310"/>
      <c r="M27" s="310"/>
      <c r="N27" s="310"/>
    </row>
    <row r="28" spans="2:14" s="362" customFormat="1" ht="15.75">
      <c r="B28" s="362" t="s">
        <v>365</v>
      </c>
      <c r="C28" s="469">
        <v>30</v>
      </c>
      <c r="D28" s="443">
        <f>$C$28*Assumptions!D28</f>
        <v>189939.01630434784</v>
      </c>
      <c r="E28" s="268">
        <f>$C$28*Assumptions!E28</f>
        <v>391087.93548387091</v>
      </c>
      <c r="F28" s="268">
        <f>$C$28*Assumptions!F28</f>
        <v>332931.52325581398</v>
      </c>
      <c r="G28" s="268">
        <f>$C$28*Assumptions!G28</f>
        <v>640777.5</v>
      </c>
      <c r="H28" s="369">
        <f>$C$28*Assumptions!H28</f>
        <v>810369.56896551733</v>
      </c>
      <c r="I28" s="310"/>
      <c r="J28" s="310"/>
      <c r="K28" s="310"/>
      <c r="L28" s="310"/>
      <c r="M28" s="310"/>
      <c r="N28" s="310"/>
    </row>
    <row r="29" spans="2:14" s="362" customFormat="1">
      <c r="B29" s="424" t="s">
        <v>473</v>
      </c>
      <c r="D29" s="368">
        <f>D$28*Salaries!D10/Salaries!D$9</f>
        <v>146278.56113082633</v>
      </c>
      <c r="E29" s="368">
        <f>E$28*Salaries!E10/Salaries!E$9</f>
        <v>270147.08393840643</v>
      </c>
      <c r="F29" s="368">
        <f>F$28*Salaries!F10/Salaries!F$9</f>
        <v>190555.07914168714</v>
      </c>
      <c r="G29" s="368">
        <f>G$28*Salaries!G10/Salaries!G$9</f>
        <v>314679.42064592423</v>
      </c>
      <c r="H29" s="368">
        <f>H$28*Salaries!H10/Salaries!H$9</f>
        <v>344315.10031622415</v>
      </c>
      <c r="I29" s="310"/>
      <c r="J29" s="310"/>
      <c r="K29" s="310"/>
      <c r="L29" s="310"/>
      <c r="M29" s="310"/>
      <c r="N29" s="310"/>
    </row>
    <row r="30" spans="2:14" s="362" customFormat="1">
      <c r="B30" s="424" t="s">
        <v>364</v>
      </c>
      <c r="D30" s="368">
        <f>D$28*Salaries!D11/Salaries!D$9</f>
        <v>43660.455173521521</v>
      </c>
      <c r="E30" s="368">
        <f>E$28*Salaries!E11/Salaries!E$9</f>
        <v>120940.85154546444</v>
      </c>
      <c r="F30" s="368">
        <f>F$28*Salaries!F11/Salaries!F$9</f>
        <v>142376.44411412685</v>
      </c>
      <c r="G30" s="368">
        <f>G$28*Salaries!G11/Salaries!G$9</f>
        <v>326098.07935407577</v>
      </c>
      <c r="H30" s="368">
        <f>H$28*Salaries!H11/Salaries!H$9</f>
        <v>466054.4686492933</v>
      </c>
      <c r="I30" s="310"/>
      <c r="J30" s="310"/>
      <c r="K30" s="310"/>
      <c r="L30" s="310"/>
      <c r="M30" s="310"/>
      <c r="N30" s="310"/>
    </row>
    <row r="31" spans="2:14" s="362" customFormat="1" ht="13.5" thickBot="1">
      <c r="B31" s="424" t="s">
        <v>437</v>
      </c>
      <c r="D31" s="368">
        <f>D$28*Salaries!D12/Salaries!D$9</f>
        <v>0</v>
      </c>
      <c r="E31" s="368">
        <f>E$28*Salaries!E12/Salaries!E$9</f>
        <v>0</v>
      </c>
      <c r="F31" s="368">
        <f>F$28*Salaries!F12/Salaries!F$9</f>
        <v>0</v>
      </c>
      <c r="G31" s="368">
        <f>G$28*Salaries!G12/Salaries!G$9</f>
        <v>0</v>
      </c>
      <c r="H31" s="368">
        <f>H$28*Salaries!H12/Salaries!H$9</f>
        <v>0</v>
      </c>
      <c r="I31" s="310"/>
      <c r="J31" s="310"/>
      <c r="K31" s="310"/>
      <c r="L31" s="310"/>
      <c r="M31" s="310"/>
      <c r="N31" s="310"/>
    </row>
    <row r="32" spans="2:14" s="310" customFormat="1" ht="13.5" thickBot="1">
      <c r="B32" s="310" t="s">
        <v>339</v>
      </c>
      <c r="D32" s="371">
        <f>SUM(D29:D31)*Assumptions!C27</f>
        <v>0</v>
      </c>
      <c r="E32" s="372">
        <f>SUM(E29:E31)</f>
        <v>391087.93548387085</v>
      </c>
      <c r="F32" s="372">
        <f>SUM(F29:F31)</f>
        <v>332931.52325581398</v>
      </c>
      <c r="G32" s="372">
        <f>SUM(G29:G31)</f>
        <v>640777.5</v>
      </c>
      <c r="H32" s="373">
        <f>SUM(H29:H31)</f>
        <v>810369.56896551745</v>
      </c>
    </row>
    <row r="33" spans="1:9" s="310" customFormat="1">
      <c r="B33" s="362" t="s">
        <v>340</v>
      </c>
      <c r="C33" s="362"/>
      <c r="D33" s="362"/>
      <c r="E33" s="362"/>
      <c r="F33" s="362"/>
      <c r="G33" s="362"/>
      <c r="H33" s="362"/>
    </row>
    <row r="34" spans="1:9" s="310" customFormat="1">
      <c r="B34" s="362" t="s">
        <v>345</v>
      </c>
      <c r="C34" s="362"/>
      <c r="D34" s="362"/>
      <c r="E34" s="362"/>
      <c r="F34" s="362"/>
      <c r="G34" s="362"/>
      <c r="H34" s="362"/>
    </row>
    <row r="35" spans="1:9" s="276" customFormat="1">
      <c r="B35" s="275"/>
      <c r="C35" s="275"/>
      <c r="D35" s="275"/>
      <c r="E35" s="275"/>
      <c r="F35" s="275"/>
      <c r="G35" s="275"/>
      <c r="H35" s="275"/>
    </row>
    <row r="36" spans="1:9" s="276" customFormat="1">
      <c r="B36" s="275"/>
      <c r="C36" s="275"/>
      <c r="D36" s="275"/>
      <c r="E36" s="275"/>
      <c r="F36" s="275"/>
      <c r="G36" s="275"/>
      <c r="H36" s="275"/>
    </row>
    <row r="37" spans="1:9" s="9" customFormat="1" ht="23.25">
      <c r="B37" s="347" t="str">
        <f>IF(toggle_3="Yes",footnote_3,"")</f>
        <v>Draft and preliminary.</v>
      </c>
      <c r="C37" s="348"/>
      <c r="D37" s="349"/>
      <c r="E37" s="349"/>
      <c r="F37" s="349"/>
      <c r="G37" s="349"/>
      <c r="H37" s="349"/>
      <c r="I37" s="349"/>
    </row>
    <row r="38" spans="1:9" s="9" customFormat="1" ht="23.25">
      <c r="B38" s="71" t="str">
        <f>IF(toggle_4="Yes",footnote_4,"")</f>
        <v>All data subject to change upon completion of additional analysis.</v>
      </c>
      <c r="C38"/>
      <c r="I38" s="73" t="str">
        <f>IF(toggle_5="Yes",copyright,"")</f>
        <v>© 2009 by p2w2.  All rights reserved.</v>
      </c>
    </row>
    <row r="40" spans="1:9" s="276" customFormat="1">
      <c r="A40" s="275"/>
      <c r="B40" s="275"/>
      <c r="C40" s="275"/>
      <c r="D40" s="275"/>
      <c r="E40" s="275"/>
      <c r="F40" s="275"/>
      <c r="G40" s="275"/>
      <c r="H40" s="275"/>
    </row>
    <row r="41" spans="1:9" s="276" customFormat="1">
      <c r="A41" s="275"/>
      <c r="B41" s="275"/>
      <c r="C41" s="275"/>
      <c r="D41" s="275"/>
      <c r="E41" s="275"/>
      <c r="F41" s="275"/>
      <c r="G41" s="275"/>
      <c r="H41" s="275"/>
    </row>
  </sheetData>
  <pageMargins left="0.7" right="0.7" top="0.75" bottom="0.75" header="0.3" footer="0.3"/>
  <pageSetup paperSize="9" scale="67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>
  <sheetPr>
    <pageSetUpPr fitToPage="1"/>
  </sheetPr>
  <dimension ref="B1:G25"/>
  <sheetViews>
    <sheetView workbookViewId="0"/>
  </sheetViews>
  <sheetFormatPr defaultRowHeight="12.75"/>
  <cols>
    <col min="1" max="1" width="20.5703125" customWidth="1"/>
    <col min="2" max="2" width="42.42578125" customWidth="1"/>
    <col min="3" max="3" width="4.7109375" customWidth="1"/>
    <col min="4" max="4" width="15.85546875" bestFit="1" customWidth="1"/>
    <col min="5" max="5" width="26.5703125" bestFit="1" customWidth="1"/>
    <col min="6" max="6" width="26.85546875" bestFit="1" customWidth="1"/>
    <col min="7" max="7" width="27" bestFit="1" customWidth="1"/>
    <col min="8" max="8" width="27.7109375" bestFit="1" customWidth="1"/>
    <col min="9" max="9" width="16.42578125" customWidth="1"/>
  </cols>
  <sheetData>
    <row r="1" spans="2:7" s="64" customFormat="1" ht="48" customHeight="1" thickBot="1">
      <c r="B1" s="67" t="str">
        <f>co_name</f>
        <v>Sample Company</v>
      </c>
      <c r="C1" s="67"/>
      <c r="D1" s="432"/>
      <c r="E1" s="67"/>
      <c r="F1" s="67"/>
      <c r="G1" s="86" t="str">
        <f>"Exhibit "&amp;_Exh11</f>
        <v>Exhibit 11</v>
      </c>
    </row>
    <row r="2" spans="2:7" s="9" customFormat="1" ht="18.75">
      <c r="B2" s="66" t="str">
        <f>proj_name</f>
        <v>Marine Operations Services</v>
      </c>
      <c r="D2" s="219"/>
      <c r="G2" s="68">
        <f ca="1">IF(date_toggle=1,run_date,"")</f>
        <v>39918</v>
      </c>
    </row>
    <row r="3" spans="2:7" s="9" customFormat="1" ht="18.75">
      <c r="B3" s="65" t="s">
        <v>405</v>
      </c>
      <c r="D3" s="219"/>
      <c r="G3" s="69">
        <f ca="1">IF(time_toggle=1,run_time,"")</f>
        <v>39918.566740393515</v>
      </c>
    </row>
    <row r="4" spans="2:7" s="9" customFormat="1" ht="15.75">
      <c r="B4" s="390" t="str">
        <f>curr</f>
        <v>(in US Dollars)</v>
      </c>
      <c r="D4" s="219"/>
    </row>
    <row r="6" spans="2:7" ht="15.75">
      <c r="D6" s="434">
        <f>first_year</f>
        <v>2009</v>
      </c>
    </row>
    <row r="7" spans="2:7">
      <c r="B7" s="282" t="s">
        <v>191</v>
      </c>
    </row>
    <row r="8" spans="2:7">
      <c r="B8" s="448" t="s">
        <v>295</v>
      </c>
      <c r="D8" s="211">
        <f>SUM(Salaries!D63:D68)*Assumptions!$C$9</f>
        <v>661950</v>
      </c>
    </row>
    <row r="9" spans="2:7">
      <c r="B9" s="448" t="s">
        <v>484</v>
      </c>
      <c r="D9" s="211">
        <f>Salaries!D83*Assumptions!$C$9</f>
        <v>104150</v>
      </c>
    </row>
    <row r="10" spans="2:7">
      <c r="B10" s="448" t="s">
        <v>397</v>
      </c>
      <c r="D10" s="211">
        <f>SUM(Salaries!D86:D89)*Assumptions!$C$9</f>
        <v>173250</v>
      </c>
    </row>
    <row r="11" spans="2:7">
      <c r="B11" s="448" t="s">
        <v>398</v>
      </c>
      <c r="D11" s="211">
        <f>SUM(Salaries!D93:D110)*Assumptions!$C$9</f>
        <v>871940</v>
      </c>
    </row>
    <row r="12" spans="2:7">
      <c r="D12" s="211"/>
    </row>
    <row r="13" spans="2:7">
      <c r="B13" s="273" t="s">
        <v>403</v>
      </c>
      <c r="D13" s="211">
        <f>SUM('G &amp; A Expenses'!D10:D21)*Assumptions!$C$9</f>
        <v>1369638.7614817901</v>
      </c>
    </row>
    <row r="14" spans="2:7">
      <c r="B14" s="273" t="s">
        <v>400</v>
      </c>
      <c r="D14" s="211">
        <f>'Loan Schedule'!D20*Assumptions!C9/Assumptions!C7</f>
        <v>2083.3333333333335</v>
      </c>
    </row>
    <row r="15" spans="2:7">
      <c r="D15" s="211"/>
    </row>
    <row r="16" spans="2:7">
      <c r="B16" s="273" t="s">
        <v>399</v>
      </c>
      <c r="D16" s="449">
        <f>SUM(D8:D14)</f>
        <v>3183012.0948151234</v>
      </c>
    </row>
    <row r="17" spans="2:7">
      <c r="B17" s="273" t="s">
        <v>402</v>
      </c>
      <c r="D17" s="283">
        <f>D16-'Fixed Assets Sch'!E57</f>
        <v>0</v>
      </c>
    </row>
    <row r="22" spans="2:7" ht="13.5" thickBot="1"/>
    <row r="23" spans="2:7" s="9" customFormat="1" ht="24" thickTop="1">
      <c r="B23" s="444" t="str">
        <f>IF(toggle_3="Yes",footnote_3,"")</f>
        <v>Draft and preliminary.</v>
      </c>
      <c r="C23" s="445"/>
      <c r="D23" s="446"/>
      <c r="E23" s="445"/>
      <c r="F23" s="445"/>
      <c r="G23" s="445"/>
    </row>
    <row r="24" spans="2:7" s="9" customFormat="1" ht="23.25">
      <c r="B24" s="71" t="str">
        <f>IF(toggle_4="Yes",footnote_4,"")</f>
        <v>All data subject to change upon completion of additional analysis.</v>
      </c>
      <c r="C24" s="38"/>
      <c r="D24" s="126"/>
      <c r="E24" s="38"/>
      <c r="F24" s="38"/>
      <c r="G24" s="73" t="str">
        <f>IF(toggle_5="Yes",copyright,"")</f>
        <v>© 2009 by p2w2.  All rights reserved.</v>
      </c>
    </row>
    <row r="25" spans="2:7">
      <c r="D25" s="172"/>
    </row>
  </sheetData>
  <pageMargins left="0.7" right="0.7" top="0.75" bottom="0.75" header="0.3" footer="0.3"/>
  <pageSetup paperSize="9" scale="81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45"/>
  <sheetViews>
    <sheetView workbookViewId="0"/>
  </sheetViews>
  <sheetFormatPr defaultRowHeight="12.75"/>
  <cols>
    <col min="1" max="1" width="20.5703125" customWidth="1"/>
    <col min="2" max="2" width="28.7109375" customWidth="1"/>
    <col min="3" max="3" width="14.7109375" customWidth="1"/>
    <col min="4" max="4" width="15.42578125" customWidth="1"/>
    <col min="5" max="9" width="18.42578125" customWidth="1"/>
  </cols>
  <sheetData>
    <row r="1" spans="1:9" ht="42" customHeight="1" thickBot="1">
      <c r="B1" s="67" t="str">
        <f>co_name</f>
        <v>Sample Company</v>
      </c>
      <c r="C1" s="67"/>
      <c r="D1" s="67"/>
      <c r="E1" s="67"/>
      <c r="F1" s="67"/>
      <c r="G1" s="67"/>
      <c r="H1" s="67"/>
      <c r="I1" s="67" t="str">
        <f>"Exhibit "&amp;_Exh12</f>
        <v>Exhibit 12</v>
      </c>
    </row>
    <row r="2" spans="1:9" ht="18.75">
      <c r="B2" s="66" t="str">
        <f>proj_name</f>
        <v>Marine Operations Services</v>
      </c>
      <c r="C2" s="9"/>
      <c r="D2" s="9"/>
      <c r="E2" s="9"/>
      <c r="F2" s="9"/>
      <c r="G2" s="9"/>
      <c r="H2" s="9"/>
      <c r="I2" s="68">
        <f ca="1">IF(date_toggle=1,run_date,"")</f>
        <v>39918</v>
      </c>
    </row>
    <row r="3" spans="1:9" ht="18.75">
      <c r="B3" s="65" t="s">
        <v>235</v>
      </c>
      <c r="C3" s="9"/>
      <c r="D3" s="9"/>
      <c r="E3" s="9"/>
      <c r="F3" s="9"/>
      <c r="G3" s="9"/>
      <c r="H3" s="9"/>
      <c r="I3" s="69">
        <f ca="1">IF(time_toggle=1,run_time,"")</f>
        <v>39918.566740393515</v>
      </c>
    </row>
    <row r="4" spans="1:9" ht="15.75">
      <c r="B4" s="390" t="str">
        <f>curr</f>
        <v>(in US Dollars)</v>
      </c>
      <c r="C4" s="9"/>
      <c r="D4" s="9"/>
      <c r="E4" s="9"/>
      <c r="F4" s="9"/>
      <c r="G4" s="9"/>
      <c r="H4" s="9"/>
      <c r="I4" s="9"/>
    </row>
    <row r="5" spans="1:9">
      <c r="B5" s="273" t="s">
        <v>374</v>
      </c>
      <c r="C5" s="172"/>
      <c r="D5" s="217">
        <f>SUM(,D12,D17,D24,D30,D35)</f>
        <v>12859645.465162057</v>
      </c>
      <c r="E5" s="217">
        <f>SUM(,E12,E17,E24,E30,E35)</f>
        <v>52216575.159129485</v>
      </c>
      <c r="F5" s="217">
        <f>SUM(,F12,F17,F24,F30,F35)</f>
        <v>54319001.011030592</v>
      </c>
      <c r="G5" s="217">
        <f>SUM(,G12,G17,G24,G30,G35)</f>
        <v>109246834.54018401</v>
      </c>
      <c r="H5" s="217">
        <f>SUM(,H12,H17,H24,H30,H35)</f>
        <v>139068658.81866741</v>
      </c>
    </row>
    <row r="6" spans="1:9">
      <c r="B6" s="273"/>
      <c r="C6" s="172"/>
      <c r="D6" s="217"/>
      <c r="E6" s="217"/>
      <c r="F6" s="217"/>
      <c r="G6" s="217"/>
      <c r="H6" s="217"/>
    </row>
    <row r="7" spans="1:9" ht="15.75">
      <c r="B7" s="178" t="s">
        <v>108</v>
      </c>
      <c r="C7" s="8"/>
      <c r="D7" s="101">
        <f>first_year</f>
        <v>2009</v>
      </c>
      <c r="E7" s="101">
        <f>first_year+1</f>
        <v>2010</v>
      </c>
      <c r="F7" s="85">
        <f>E7+1</f>
        <v>2011</v>
      </c>
      <c r="G7" s="85">
        <f>F7+1</f>
        <v>2012</v>
      </c>
      <c r="H7" s="85">
        <f>G7+1</f>
        <v>2013</v>
      </c>
    </row>
    <row r="8" spans="1:9" ht="15.75">
      <c r="A8" s="111"/>
      <c r="B8" s="282" t="s">
        <v>474</v>
      </c>
      <c r="C8" s="273"/>
    </row>
    <row r="9" spans="1:9" ht="15.75">
      <c r="A9" s="111"/>
      <c r="B9" s="170" t="s">
        <v>194</v>
      </c>
      <c r="C9" s="274"/>
      <c r="D9" s="211">
        <f>Salaries!D71</f>
        <v>509790.43392220623</v>
      </c>
      <c r="E9" s="211">
        <f>Salaries!E71</f>
        <v>4534745.1890228428</v>
      </c>
      <c r="F9" s="211">
        <f>Salaries!F71</f>
        <v>4757662.900474254</v>
      </c>
      <c r="G9" s="211">
        <f>Salaries!G71</f>
        <v>8505168.6903708279</v>
      </c>
      <c r="H9" s="211">
        <f>Salaries!H71</f>
        <v>10119323.325122859</v>
      </c>
    </row>
    <row r="10" spans="1:9" ht="15.75">
      <c r="A10" s="111"/>
      <c r="B10" s="273" t="s">
        <v>338</v>
      </c>
      <c r="C10" s="274"/>
      <c r="D10" s="211">
        <f>'Travel &amp; Comm,Office Supplies'!D18</f>
        <v>438835.68339247891</v>
      </c>
      <c r="E10" s="211">
        <f>'Travel &amp; Comm,Office Supplies'!E18</f>
        <v>810441.25181521953</v>
      </c>
      <c r="F10" s="211">
        <f>'Travel &amp; Comm,Office Supplies'!F18</f>
        <v>571665.23742506141</v>
      </c>
      <c r="G10" s="211">
        <f>'Travel &amp; Comm,Office Supplies'!G18</f>
        <v>944038.26193777274</v>
      </c>
      <c r="H10" s="211">
        <f>'Travel &amp; Comm,Office Supplies'!H18</f>
        <v>1032945.3009486723</v>
      </c>
    </row>
    <row r="11" spans="1:9" ht="15.75">
      <c r="A11" s="111"/>
      <c r="B11" s="273" t="s">
        <v>367</v>
      </c>
      <c r="D11" s="426">
        <f>'Travel &amp; Comm,Office Supplies'!D29</f>
        <v>146278.56113082633</v>
      </c>
      <c r="E11" s="426">
        <f>'Travel &amp; Comm,Office Supplies'!E29</f>
        <v>270147.08393840643</v>
      </c>
      <c r="F11" s="426">
        <f>'Travel &amp; Comm,Office Supplies'!F29</f>
        <v>190555.07914168714</v>
      </c>
      <c r="G11" s="426">
        <f>'Travel &amp; Comm,Office Supplies'!G29</f>
        <v>314679.42064592423</v>
      </c>
      <c r="H11" s="426">
        <f>'Travel &amp; Comm,Office Supplies'!H29</f>
        <v>344315.10031622415</v>
      </c>
    </row>
    <row r="12" spans="1:9">
      <c r="B12" s="170"/>
      <c r="C12" s="172"/>
      <c r="D12" s="217">
        <f>SUM(D9:D11)</f>
        <v>1094904.6784455115</v>
      </c>
      <c r="E12" s="217">
        <f>SUM(E9:E11)</f>
        <v>5615333.524776469</v>
      </c>
      <c r="F12" s="217">
        <f>SUM(F9:F11)</f>
        <v>5519883.2170410026</v>
      </c>
      <c r="G12" s="217">
        <f>SUM(G9:G11)</f>
        <v>9763886.3729545251</v>
      </c>
      <c r="H12" s="217">
        <f>SUM(H9:H11)</f>
        <v>11496583.726387756</v>
      </c>
    </row>
    <row r="13" spans="1:9">
      <c r="B13" s="170"/>
      <c r="C13" s="172"/>
      <c r="D13" s="427"/>
      <c r="E13" s="427"/>
      <c r="F13" s="427"/>
      <c r="G13" s="427"/>
      <c r="H13" s="427"/>
    </row>
    <row r="14" spans="1:9">
      <c r="B14" s="282" t="s">
        <v>475</v>
      </c>
      <c r="C14" s="273"/>
    </row>
    <row r="15" spans="1:9">
      <c r="B15" s="273" t="s">
        <v>368</v>
      </c>
      <c r="C15" s="274"/>
      <c r="D15" s="211">
        <f>SUMPRODUCT('Services Details'!N14:N63,Assumptions!$C$110:$C$159)*USDSR</f>
        <v>8680864.9974479992</v>
      </c>
      <c r="E15" s="211">
        <f>SUMPRODUCT('Services Details'!O14:O63,Assumptions!$C$110:$C$159)*USDSR</f>
        <v>29772838.887120001</v>
      </c>
      <c r="F15" s="211">
        <f>SUMPRODUCT('Services Details'!P14:P63,Assumptions!$C$110:$C$159)*USDSR</f>
        <v>24782660.10297</v>
      </c>
      <c r="G15" s="211">
        <f>SUMPRODUCT('Services Details'!Q14:Q63,Assumptions!$C$110:$C$159)*USDSR</f>
        <v>42870978.316278003</v>
      </c>
      <c r="H15" s="211">
        <f>SUMPRODUCT('Services Details'!R14:R63,Assumptions!$C$110:$C$159)*USDSR</f>
        <v>46502100.664361998</v>
      </c>
    </row>
    <row r="16" spans="1:9">
      <c r="B16" s="273"/>
      <c r="D16" s="426"/>
      <c r="E16" s="426"/>
      <c r="F16" s="426"/>
      <c r="G16" s="426"/>
      <c r="H16" s="426"/>
    </row>
    <row r="17" spans="2:8">
      <c r="B17" s="170"/>
      <c r="C17" s="172"/>
      <c r="D17" s="217">
        <f>SUM(D15:D16)</f>
        <v>8680864.9974479992</v>
      </c>
      <c r="E17" s="217">
        <f>SUM(E15:E16)</f>
        <v>29772838.887120001</v>
      </c>
      <c r="F17" s="217">
        <f>SUM(F15:F16)</f>
        <v>24782660.10297</v>
      </c>
      <c r="G17" s="217">
        <f>SUM(G15:G16)</f>
        <v>42870978.316278003</v>
      </c>
      <c r="H17" s="217">
        <f>SUM(H15:H16)</f>
        <v>46502100.664361998</v>
      </c>
    </row>
    <row r="18" spans="2:8">
      <c r="B18" s="170"/>
      <c r="C18" s="172"/>
      <c r="D18" s="427"/>
      <c r="E18" s="427"/>
      <c r="F18" s="427"/>
      <c r="G18" s="427"/>
      <c r="H18" s="427"/>
    </row>
    <row r="19" spans="2:8">
      <c r="B19" s="282" t="s">
        <v>369</v>
      </c>
      <c r="C19" s="273"/>
    </row>
    <row r="20" spans="2:8">
      <c r="B20" s="170" t="s">
        <v>194</v>
      </c>
      <c r="C20" s="274"/>
      <c r="D20" s="211">
        <f>Salaries!D76</f>
        <v>215647.23274446046</v>
      </c>
      <c r="E20" s="211">
        <f>Salaries!E76</f>
        <v>2356646.3109771563</v>
      </c>
      <c r="F20" s="211">
        <f>Salaries!F76</f>
        <v>4008251.4828590793</v>
      </c>
      <c r="G20" s="211">
        <f>Salaries!G76</f>
        <v>9902152.6808791775</v>
      </c>
      <c r="H20" s="211">
        <f>Salaries!H76</f>
        <v>15239052.230210481</v>
      </c>
    </row>
    <row r="21" spans="2:8">
      <c r="B21" s="273" t="s">
        <v>338</v>
      </c>
      <c r="C21" s="274"/>
      <c r="D21" s="211">
        <f>'Travel &amp; Comm,Office Supplies'!D19</f>
        <v>130981.36552056455</v>
      </c>
      <c r="E21" s="211">
        <f>'Travel &amp; Comm,Office Supplies'!E19</f>
        <v>362822.55463639332</v>
      </c>
      <c r="F21" s="211">
        <f>'Travel &amp; Comm,Office Supplies'!F19</f>
        <v>427129.33234238054</v>
      </c>
      <c r="G21" s="211">
        <f>'Travel &amp; Comm,Office Supplies'!G19</f>
        <v>978294.23806222738</v>
      </c>
      <c r="H21" s="211">
        <f>'Travel &amp; Comm,Office Supplies'!H19</f>
        <v>1398163.4059478797</v>
      </c>
    </row>
    <row r="22" spans="2:8">
      <c r="B22" s="273" t="s">
        <v>367</v>
      </c>
      <c r="D22" s="426">
        <f>'Travel &amp; Comm,Office Supplies'!D30</f>
        <v>43660.455173521521</v>
      </c>
      <c r="E22" s="426">
        <f>'Travel &amp; Comm,Office Supplies'!E30</f>
        <v>120940.85154546444</v>
      </c>
      <c r="F22" s="426">
        <f>'Travel &amp; Comm,Office Supplies'!F30</f>
        <v>142376.44411412685</v>
      </c>
      <c r="G22" s="426">
        <f>'Travel &amp; Comm,Office Supplies'!G30</f>
        <v>326098.07935407577</v>
      </c>
      <c r="H22" s="426">
        <f>'Travel &amp; Comm,Office Supplies'!H30</f>
        <v>466054.4686492933</v>
      </c>
    </row>
    <row r="23" spans="2:8">
      <c r="B23" s="273" t="s">
        <v>371</v>
      </c>
      <c r="D23" s="426">
        <f>SUMPRODUCT('Services Details'!N70:N119,Assumptions!$C$110:$C$159)*USDSR</f>
        <v>2589436.7358300001</v>
      </c>
      <c r="E23" s="426">
        <f>SUMPRODUCT('Services Details'!O70:O119,Assumptions!$C$110:$C$159)*USDSR</f>
        <v>13331848.030074</v>
      </c>
      <c r="F23" s="426">
        <f>SUMPRODUCT('Services Details'!P70:P119,Assumptions!$C$110:$C$159)*USDSR</f>
        <v>18512994.931704</v>
      </c>
      <c r="G23" s="426">
        <f>SUMPRODUCT('Services Details'!Q70:Q119,Assumptions!$C$110:$C$159)*USDSR</f>
        <v>44433734.077656001</v>
      </c>
      <c r="H23" s="426">
        <f>SUMPRODUCT('Services Details'!R70:R119,Assumptions!$C$110:$C$159)*USDSR</f>
        <v>62946729.00936</v>
      </c>
    </row>
    <row r="24" spans="2:8">
      <c r="B24" s="170"/>
      <c r="C24" s="172"/>
      <c r="D24" s="217">
        <f>SUM(D20:D23)</f>
        <v>2979725.7892685467</v>
      </c>
      <c r="E24" s="217">
        <f>SUM(E20:E23)</f>
        <v>16172257.747233015</v>
      </c>
      <c r="F24" s="217">
        <f>SUM(F20:F23)</f>
        <v>23090752.191019587</v>
      </c>
      <c r="G24" s="217">
        <f>SUM(G20:G23)</f>
        <v>55640279.075951479</v>
      </c>
      <c r="H24" s="217">
        <f>SUM(H20:H23)</f>
        <v>80049999.11416766</v>
      </c>
    </row>
    <row r="25" spans="2:8">
      <c r="B25" s="170"/>
      <c r="C25" s="172"/>
      <c r="D25" s="427"/>
      <c r="E25" s="427"/>
      <c r="F25" s="427"/>
      <c r="G25" s="427"/>
      <c r="H25" s="427"/>
    </row>
    <row r="26" spans="2:8">
      <c r="B26" s="282" t="s">
        <v>485</v>
      </c>
      <c r="C26" s="273"/>
    </row>
    <row r="27" spans="2:8">
      <c r="B27" s="170" t="s">
        <v>194</v>
      </c>
      <c r="C27" s="274"/>
      <c r="D27" s="211">
        <f>Salaries!D84</f>
        <v>104150</v>
      </c>
      <c r="E27" s="211">
        <f>Salaries!E84</f>
        <v>656145</v>
      </c>
      <c r="F27" s="211">
        <f>Salaries!F84</f>
        <v>688952.25</v>
      </c>
      <c r="G27" s="211">
        <f>Salaries!G84</f>
        <v>723399.86250000005</v>
      </c>
      <c r="H27" s="211">
        <f>Salaries!H84</f>
        <v>759569.85562499997</v>
      </c>
    </row>
    <row r="28" spans="2:8">
      <c r="B28" s="273" t="s">
        <v>338</v>
      </c>
      <c r="C28" s="274"/>
      <c r="D28" s="211">
        <v>0</v>
      </c>
      <c r="E28" s="211">
        <v>0</v>
      </c>
      <c r="F28" s="211">
        <v>0</v>
      </c>
      <c r="G28" s="211">
        <v>0</v>
      </c>
      <c r="H28" s="211">
        <v>0</v>
      </c>
    </row>
    <row r="29" spans="2:8">
      <c r="B29" s="273" t="s">
        <v>367</v>
      </c>
      <c r="D29" s="211">
        <v>0</v>
      </c>
      <c r="E29" s="211">
        <v>0</v>
      </c>
      <c r="F29" s="211">
        <v>0</v>
      </c>
      <c r="G29" s="211">
        <v>0</v>
      </c>
      <c r="H29" s="211">
        <v>0</v>
      </c>
    </row>
    <row r="30" spans="2:8">
      <c r="B30" s="170"/>
      <c r="C30" s="172"/>
      <c r="D30" s="217">
        <f>SUM(D27:D29)</f>
        <v>104150</v>
      </c>
      <c r="E30" s="217">
        <f>SUM(E27:E29)</f>
        <v>656145</v>
      </c>
      <c r="F30" s="217">
        <f>SUM(F27:F29)</f>
        <v>688952.25</v>
      </c>
      <c r="G30" s="217">
        <f>SUM(G27:G29)</f>
        <v>723399.86250000005</v>
      </c>
      <c r="H30" s="217">
        <f>SUM(H27:H29)</f>
        <v>759569.85562499997</v>
      </c>
    </row>
    <row r="31" spans="2:8">
      <c r="B31" s="170"/>
      <c r="C31" s="172"/>
      <c r="D31" s="427"/>
      <c r="E31" s="427"/>
      <c r="F31" s="427"/>
      <c r="G31" s="427"/>
      <c r="H31" s="427"/>
    </row>
    <row r="32" spans="2:8">
      <c r="B32" s="282" t="s">
        <v>437</v>
      </c>
      <c r="C32" s="273"/>
    </row>
    <row r="33" spans="2:9">
      <c r="B33" s="170" t="s">
        <v>194</v>
      </c>
      <c r="C33" s="274"/>
      <c r="D33" s="211">
        <f>Salaries!D80</f>
        <v>0</v>
      </c>
      <c r="E33" s="211">
        <f>Salaries!E80</f>
        <v>0</v>
      </c>
      <c r="F33" s="211">
        <f>Salaries!F80</f>
        <v>230753.25</v>
      </c>
      <c r="G33" s="211">
        <f>Salaries!G80</f>
        <v>242290.91250000003</v>
      </c>
      <c r="H33" s="211">
        <f>Salaries!H80</f>
        <v>254405.458125</v>
      </c>
    </row>
    <row r="34" spans="2:9">
      <c r="B34" s="273" t="s">
        <v>338</v>
      </c>
      <c r="C34" s="274"/>
      <c r="D34" s="211">
        <f>'Travel &amp; Comm,Office Supplies'!D20</f>
        <v>0</v>
      </c>
      <c r="E34" s="211">
        <f>'Travel &amp; Comm,Office Supplies'!E20</f>
        <v>0</v>
      </c>
      <c r="F34" s="211">
        <f>'Travel &amp; Comm,Office Supplies'!F20</f>
        <v>6000</v>
      </c>
      <c r="G34" s="211">
        <f>'Travel &amp; Comm,Office Supplies'!G20</f>
        <v>6000</v>
      </c>
      <c r="H34" s="211">
        <f>'Travel &amp; Comm,Office Supplies'!H20</f>
        <v>6000</v>
      </c>
    </row>
    <row r="35" spans="2:9">
      <c r="B35" s="170"/>
      <c r="C35" s="172"/>
      <c r="D35" s="217">
        <f>SUM(D33:D34)</f>
        <v>0</v>
      </c>
      <c r="E35" s="217">
        <f>SUM(E33:E34)</f>
        <v>0</v>
      </c>
      <c r="F35" s="217">
        <f>SUM(F33:F34)</f>
        <v>236753.25</v>
      </c>
      <c r="G35" s="217">
        <f>SUM(G33:G34)</f>
        <v>248290.91250000003</v>
      </c>
      <c r="H35" s="217">
        <f>SUM(H33:H34)</f>
        <v>260405.458125</v>
      </c>
    </row>
    <row r="36" spans="2:9">
      <c r="B36" s="170"/>
      <c r="C36" s="172"/>
      <c r="D36" s="427"/>
      <c r="E36" s="427"/>
      <c r="F36" s="427"/>
      <c r="G36" s="427"/>
      <c r="H36" s="427"/>
    </row>
    <row r="41" spans="2:9">
      <c r="B41" s="170"/>
      <c r="C41" s="172"/>
      <c r="D41" s="427"/>
      <c r="E41" s="427"/>
      <c r="F41" s="427"/>
      <c r="G41" s="427"/>
      <c r="H41" s="427"/>
    </row>
    <row r="42" spans="2:9" s="9" customFormat="1" ht="15.75">
      <c r="B42" s="38" t="str">
        <f>"1. "&amp;IF(toggle_1="Yes",footnote_1,"")</f>
        <v>1. Source of data: Sample Company</v>
      </c>
      <c r="C42" s="38"/>
      <c r="D42" s="38"/>
      <c r="E42" s="38"/>
      <c r="F42" s="38"/>
      <c r="G42" s="38"/>
      <c r="H42" s="38"/>
      <c r="I42" s="38"/>
    </row>
    <row r="43" spans="2:9" s="9" customFormat="1" ht="16.5" thickBot="1">
      <c r="B43" s="70" t="str">
        <f>"2. "&amp;IF(toggle_2="Yes",footnote_2,"")</f>
        <v>2. Some totals may not add due to rounding.  See Statement of Limiting Conditions.</v>
      </c>
      <c r="C43" s="70"/>
      <c r="D43" s="70"/>
      <c r="E43" s="70"/>
      <c r="F43" s="70"/>
      <c r="G43" s="70"/>
      <c r="H43" s="70"/>
      <c r="I43" s="70"/>
    </row>
    <row r="44" spans="2:9" s="9" customFormat="1" ht="20.25">
      <c r="B44" s="381" t="str">
        <f>IF(toggle_3="Yes",footnote_3,"")</f>
        <v>Draft and preliminary.</v>
      </c>
      <c r="C44" s="38"/>
      <c r="D44" s="38"/>
      <c r="E44" s="38"/>
      <c r="F44" s="38"/>
      <c r="G44" s="72"/>
      <c r="H44" s="38"/>
      <c r="I44"/>
    </row>
    <row r="45" spans="2:9" s="9" customFormat="1" ht="20.25">
      <c r="B45" s="381" t="str">
        <f>IF(toggle_4="Yes",footnote_4,"")</f>
        <v>All data subject to change upon completion of additional analysis.</v>
      </c>
      <c r="C45" s="38"/>
      <c r="D45" s="38"/>
      <c r="E45" s="38"/>
      <c r="F45" s="38"/>
      <c r="H45" s="73"/>
      <c r="I45" s="73" t="str">
        <f>IF(toggle_5="Yes",copyright,"")</f>
        <v>© 2009 by p2w2.  All rights reserved.</v>
      </c>
    </row>
  </sheetData>
  <pageMargins left="0.7" right="0.7" top="0.75" bottom="0.75" header="0.3" footer="0.3"/>
  <pageSetup paperSize="9" scale="76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>
  <sheetPr>
    <pageSetUpPr fitToPage="1"/>
  </sheetPr>
  <dimension ref="B1:J78"/>
  <sheetViews>
    <sheetView topLeftCell="A45" workbookViewId="0">
      <selection activeCell="C73" sqref="C73"/>
    </sheetView>
  </sheetViews>
  <sheetFormatPr defaultRowHeight="12.75"/>
  <cols>
    <col min="1" max="1" width="20.7109375" customWidth="1"/>
    <col min="3" max="3" width="32.140625" customWidth="1"/>
    <col min="5" max="9" width="20.7109375" customWidth="1"/>
  </cols>
  <sheetData>
    <row r="1" spans="2:10" s="64" customFormat="1" ht="47.25" customHeight="1" thickBot="1">
      <c r="B1" s="67" t="str">
        <f>co_name</f>
        <v>Sample Company</v>
      </c>
      <c r="C1" s="67"/>
      <c r="D1" s="67"/>
      <c r="E1" s="67"/>
      <c r="F1" s="67"/>
      <c r="G1" s="67"/>
      <c r="H1" s="67"/>
      <c r="I1" s="86" t="str">
        <f>"Exhibit "&amp;_exh13</f>
        <v>Exhibit 13</v>
      </c>
      <c r="J1"/>
    </row>
    <row r="2" spans="2:10" s="9" customFormat="1" ht="18.75">
      <c r="B2" s="66" t="str">
        <f>proj_name</f>
        <v>Marine Operations Services</v>
      </c>
      <c r="H2"/>
      <c r="I2" s="68">
        <f ca="1">IF(date_toggle=1,run_date,"")</f>
        <v>39918</v>
      </c>
      <c r="J2"/>
    </row>
    <row r="3" spans="2:10" s="9" customFormat="1" ht="18.75">
      <c r="B3" s="65" t="s">
        <v>508</v>
      </c>
      <c r="H3"/>
      <c r="I3" s="69">
        <f ca="1">IF(time_toggle=1,run_time,"")</f>
        <v>39918.566740393515</v>
      </c>
      <c r="J3"/>
    </row>
    <row r="4" spans="2:10" s="9" customFormat="1" ht="15.75">
      <c r="B4" s="390" t="str">
        <f>curr</f>
        <v>(in US Dollars)</v>
      </c>
    </row>
    <row r="5" spans="2:10">
      <c r="E5" s="102">
        <f>first_year</f>
        <v>2009</v>
      </c>
      <c r="F5" s="102">
        <f>E5+1</f>
        <v>2010</v>
      </c>
      <c r="G5" s="102">
        <f>F5+1</f>
        <v>2011</v>
      </c>
      <c r="H5" s="102">
        <f>G5+1</f>
        <v>2012</v>
      </c>
      <c r="I5" s="102">
        <f>H5+1</f>
        <v>2013</v>
      </c>
    </row>
    <row r="7" spans="2:10">
      <c r="B7" s="144"/>
      <c r="C7" s="144" t="s">
        <v>153</v>
      </c>
      <c r="D7" s="144"/>
      <c r="E7" s="145">
        <f>'Income Statement'!D9</f>
        <v>36413345.9550924</v>
      </c>
      <c r="F7" s="145">
        <f>'Income Statement'!E9</f>
        <v>136529109.04157281</v>
      </c>
      <c r="G7" s="145">
        <f>'Income Statement'!F9</f>
        <v>146865985.89776823</v>
      </c>
      <c r="H7" s="145">
        <f>'Income Statement'!G9</f>
        <v>306941736.63622141</v>
      </c>
      <c r="I7" s="145">
        <f>'Income Statement'!H9</f>
        <v>399719595.27713221</v>
      </c>
    </row>
    <row r="8" spans="2:10">
      <c r="B8" s="144"/>
      <c r="C8" s="144" t="s">
        <v>110</v>
      </c>
      <c r="D8" s="144"/>
      <c r="E8" s="144">
        <f>'Revenue Aggregate, GrossMargin'!C23+IF('Income Statement'!D27&gt;0,'Income Statement'!D27,0)</f>
        <v>0</v>
      </c>
      <c r="F8" s="144">
        <f>'Revenue Aggregate, GrossMargin'!D23+IF('Income Statement'!E27&gt;0,'Income Statement'!E27,0)</f>
        <v>0</v>
      </c>
      <c r="G8" s="144">
        <f>'Revenue Aggregate, GrossMargin'!E23+IF('Income Statement'!F27&gt;0,'Income Statement'!F27,0)</f>
        <v>0</v>
      </c>
      <c r="H8" s="144">
        <f>'Revenue Aggregate, GrossMargin'!F23+IF('Income Statement'!G27&gt;0,'Income Statement'!G27,0)</f>
        <v>0</v>
      </c>
      <c r="I8" s="144">
        <f>'Revenue Aggregate, GrossMargin'!G23+IF('Income Statement'!H27&gt;0,'Income Statement'!H27,0)</f>
        <v>0</v>
      </c>
    </row>
    <row r="9" spans="2:10">
      <c r="B9" s="146" t="s">
        <v>154</v>
      </c>
      <c r="C9" s="144"/>
      <c r="D9" s="144"/>
      <c r="E9" s="147">
        <f>SUM(E7:E8)</f>
        <v>36413345.9550924</v>
      </c>
      <c r="F9" s="147">
        <f>SUM(F7:F8)</f>
        <v>136529109.04157281</v>
      </c>
      <c r="G9" s="147">
        <f>SUM(G7:G8)</f>
        <v>146865985.89776823</v>
      </c>
      <c r="H9" s="147">
        <f>SUM(H7:H8)</f>
        <v>306941736.63622141</v>
      </c>
      <c r="I9" s="147">
        <f>SUM(I7:I8)</f>
        <v>399719595.27713221</v>
      </c>
    </row>
    <row r="10" spans="2:10">
      <c r="B10" s="144"/>
      <c r="C10" s="144" t="s">
        <v>108</v>
      </c>
      <c r="D10" s="144"/>
      <c r="E10" s="145">
        <f>'Income Statement'!D10</f>
        <v>12859645.465162057</v>
      </c>
      <c r="F10" s="145">
        <f>'Income Statement'!E10</f>
        <v>52216575.159129485</v>
      </c>
      <c r="G10" s="145">
        <f>'Income Statement'!F10</f>
        <v>54319001.011030592</v>
      </c>
      <c r="H10" s="145">
        <f>'Income Statement'!G10</f>
        <v>109246834.54018401</v>
      </c>
      <c r="I10" s="145">
        <f>'Income Statement'!H10</f>
        <v>139068658.81866741</v>
      </c>
    </row>
    <row r="11" spans="2:10">
      <c r="B11" s="144"/>
      <c r="C11" s="144" t="s">
        <v>155</v>
      </c>
      <c r="D11" s="144"/>
      <c r="E11" s="145">
        <f>SUM('Income Statement'!D17:D18)+'Income Statement'!D22+IF('Income Statement'!D23&gt;0,'Income Statement'!D23,0)+IF('Income Statement'!D27&lt;0,-'Income Statement'!D27,0)</f>
        <v>2069327.5114817901</v>
      </c>
      <c r="F11" s="145">
        <f>SUM('Income Statement'!E17:E18)+'Income Statement'!E22+IF('Income Statement'!E23&gt;0,'Income Statement'!E23,0)+IF('Income Statement'!E27&lt;0,-'Income Statement'!E27,0)</f>
        <v>13002635.317119136</v>
      </c>
      <c r="G11" s="145">
        <f>SUM('Income Statement'!F17:F18)+'Income Statement'!F22+IF('Income Statement'!F23&gt;0,'Income Statement'!F23,0)+IF('Income Statement'!F27&lt;0,-'Income Statement'!F27,0)</f>
        <v>15320160.093040388</v>
      </c>
      <c r="H11" s="145">
        <f>SUM('Income Statement'!G17:G18)+'Income Statement'!G22+IF('Income Statement'!G23&gt;0,'Income Statement'!G23,0)+IF('Income Statement'!G27&lt;0,-'Income Statement'!G27,0)</f>
        <v>20222424.774698976</v>
      </c>
      <c r="I11" s="145">
        <f>SUM('Income Statement'!H17:H18)+'Income Statement'!H22+IF('Income Statement'!H23&gt;0,'Income Statement'!H23,0)+IF('Income Statement'!H27&lt;0,-'Income Statement'!H27,0)</f>
        <v>23535868.021364722</v>
      </c>
    </row>
    <row r="12" spans="2:10">
      <c r="B12" s="144"/>
      <c r="C12" s="144" t="s">
        <v>156</v>
      </c>
      <c r="D12" s="144"/>
      <c r="E12" s="145">
        <f>'Income Statement'!D26</f>
        <v>2083.3333333333335</v>
      </c>
      <c r="F12" s="145">
        <f>'Income Statement'!E26</f>
        <v>7500</v>
      </c>
      <c r="G12" s="145">
        <f>'Income Statement'!F26</f>
        <v>5833.3333333333348</v>
      </c>
      <c r="H12" s="145">
        <f>'Income Statement'!G26</f>
        <v>4166.6666666666679</v>
      </c>
      <c r="I12" s="145">
        <f>'Income Statement'!H26</f>
        <v>2500.0000000000018</v>
      </c>
    </row>
    <row r="13" spans="2:10">
      <c r="B13" s="146" t="s">
        <v>157</v>
      </c>
      <c r="C13" s="144"/>
      <c r="D13" s="144"/>
      <c r="E13" s="147">
        <f>SUM(E10:E12)</f>
        <v>14931056.309977181</v>
      </c>
      <c r="F13" s="147">
        <f>SUM(F10:F11)</f>
        <v>65219210.476248622</v>
      </c>
      <c r="G13" s="147">
        <f>SUM(G10:G11)</f>
        <v>69639161.104070976</v>
      </c>
      <c r="H13" s="147">
        <f>SUM(H10:H11)</f>
        <v>129469259.31488298</v>
      </c>
      <c r="I13" s="147">
        <f>SUM(I10:I11)</f>
        <v>162604526.84003213</v>
      </c>
    </row>
    <row r="14" spans="2:10">
      <c r="B14" s="144" t="s">
        <v>158</v>
      </c>
      <c r="C14" s="144"/>
      <c r="D14" s="144"/>
      <c r="E14" s="144">
        <f>E9-E13</f>
        <v>21482289.645115219</v>
      </c>
      <c r="F14" s="144">
        <f>F9-F13</f>
        <v>71309898.565324187</v>
      </c>
      <c r="G14" s="144">
        <f>G9-G13</f>
        <v>77226824.793697253</v>
      </c>
      <c r="H14" s="144">
        <f>H9-H13</f>
        <v>177472477.32133842</v>
      </c>
      <c r="I14" s="144">
        <f>I9-I13</f>
        <v>237115068.43710008</v>
      </c>
    </row>
    <row r="15" spans="2:10">
      <c r="B15" s="144"/>
      <c r="C15" s="144"/>
      <c r="D15" s="144"/>
      <c r="E15" s="144"/>
      <c r="F15" s="144"/>
      <c r="G15" s="144"/>
      <c r="H15" s="144"/>
      <c r="I15" s="148"/>
    </row>
    <row r="16" spans="2:10">
      <c r="B16" s="146" t="s">
        <v>159</v>
      </c>
      <c r="C16" s="146"/>
      <c r="D16" s="144"/>
      <c r="E16" s="144"/>
      <c r="F16" s="144"/>
      <c r="G16" s="144"/>
      <c r="H16" s="144"/>
      <c r="I16" s="148"/>
    </row>
    <row r="17" spans="2:9">
      <c r="B17" s="144"/>
      <c r="C17" s="144" t="s">
        <v>160</v>
      </c>
      <c r="D17" s="144"/>
      <c r="E17" s="270">
        <v>0</v>
      </c>
      <c r="F17" s="270">
        <v>0</v>
      </c>
      <c r="G17" s="270">
        <v>0</v>
      </c>
      <c r="H17" s="270">
        <v>0</v>
      </c>
      <c r="I17" s="270">
        <v>0</v>
      </c>
    </row>
    <row r="18" spans="2:9">
      <c r="B18" s="144"/>
      <c r="C18" s="144" t="s">
        <v>161</v>
      </c>
      <c r="D18" s="144"/>
      <c r="E18" s="270">
        <v>0</v>
      </c>
      <c r="F18" s="270">
        <v>0</v>
      </c>
      <c r="G18" s="270">
        <v>0</v>
      </c>
      <c r="H18" s="270">
        <v>0</v>
      </c>
      <c r="I18" s="270">
        <v>0</v>
      </c>
    </row>
    <row r="19" spans="2:9">
      <c r="B19" s="144"/>
      <c r="C19" s="144" t="s">
        <v>162</v>
      </c>
      <c r="D19" s="144"/>
      <c r="E19" s="270">
        <v>0</v>
      </c>
      <c r="F19" s="270">
        <v>0</v>
      </c>
      <c r="G19" s="270">
        <v>0</v>
      </c>
      <c r="H19" s="270">
        <v>0</v>
      </c>
      <c r="I19" s="270">
        <v>0</v>
      </c>
    </row>
    <row r="20" spans="2:9">
      <c r="B20" s="144"/>
      <c r="C20" s="144" t="s">
        <v>163</v>
      </c>
      <c r="D20" s="144"/>
      <c r="E20" s="270">
        <v>0</v>
      </c>
      <c r="F20" s="270">
        <v>0</v>
      </c>
      <c r="G20" s="270">
        <v>0</v>
      </c>
      <c r="H20" s="270">
        <v>0</v>
      </c>
      <c r="I20" s="270">
        <v>0</v>
      </c>
    </row>
    <row r="21" spans="2:9">
      <c r="B21" s="144"/>
      <c r="C21" s="144" t="s">
        <v>498</v>
      </c>
      <c r="D21" s="144"/>
      <c r="E21" s="270">
        <v>0</v>
      </c>
      <c r="F21" s="270">
        <v>0</v>
      </c>
      <c r="G21" s="270">
        <v>0</v>
      </c>
      <c r="H21" s="270">
        <v>0</v>
      </c>
      <c r="I21" s="270">
        <v>0</v>
      </c>
    </row>
    <row r="22" spans="2:9">
      <c r="B22" s="144"/>
      <c r="C22" s="144" t="s">
        <v>164</v>
      </c>
      <c r="D22" s="144"/>
      <c r="E22" s="270">
        <v>0</v>
      </c>
      <c r="F22" s="270">
        <v>0</v>
      </c>
      <c r="G22" s="270">
        <v>0</v>
      </c>
      <c r="H22" s="270">
        <v>0</v>
      </c>
      <c r="I22" s="270">
        <v>0</v>
      </c>
    </row>
    <row r="23" spans="2:9">
      <c r="B23" s="144"/>
      <c r="C23" s="144" t="s">
        <v>165</v>
      </c>
      <c r="D23" s="144"/>
      <c r="E23" s="270">
        <v>0</v>
      </c>
      <c r="F23" s="270">
        <v>0</v>
      </c>
      <c r="G23" s="270">
        <v>0</v>
      </c>
      <c r="H23" s="270">
        <v>0</v>
      </c>
      <c r="I23" s="270">
        <v>0</v>
      </c>
    </row>
    <row r="24" spans="2:9">
      <c r="B24" s="144"/>
      <c r="C24" s="144" t="s">
        <v>166</v>
      </c>
      <c r="D24" s="144"/>
      <c r="E24" s="270">
        <v>0</v>
      </c>
      <c r="F24" s="270">
        <v>0</v>
      </c>
      <c r="G24" s="270">
        <v>0</v>
      </c>
      <c r="H24" s="270">
        <v>0</v>
      </c>
      <c r="I24" s="270">
        <v>0</v>
      </c>
    </row>
    <row r="25" spans="2:9">
      <c r="B25" s="144"/>
      <c r="C25" s="144" t="s">
        <v>167</v>
      </c>
      <c r="D25" s="144"/>
      <c r="E25" s="270">
        <v>0</v>
      </c>
      <c r="F25" s="270">
        <v>0</v>
      </c>
      <c r="G25" s="270">
        <v>0</v>
      </c>
      <c r="H25" s="270">
        <v>0</v>
      </c>
      <c r="I25" s="270">
        <v>0</v>
      </c>
    </row>
    <row r="26" spans="2:9">
      <c r="B26" s="144"/>
      <c r="C26" s="144" t="s">
        <v>168</v>
      </c>
      <c r="D26" s="144"/>
      <c r="E26" s="270">
        <v>0</v>
      </c>
      <c r="F26" s="270">
        <v>0</v>
      </c>
      <c r="G26" s="270">
        <v>0</v>
      </c>
      <c r="H26" s="270">
        <v>0</v>
      </c>
      <c r="I26" s="270">
        <v>0</v>
      </c>
    </row>
    <row r="27" spans="2:9">
      <c r="B27" s="144"/>
      <c r="C27" s="144" t="s">
        <v>169</v>
      </c>
      <c r="D27" s="144"/>
      <c r="E27" s="270">
        <v>0</v>
      </c>
      <c r="F27" s="270">
        <v>0</v>
      </c>
      <c r="G27" s="270">
        <v>0</v>
      </c>
      <c r="H27" s="270">
        <v>0</v>
      </c>
      <c r="I27" s="270">
        <v>0</v>
      </c>
    </row>
    <row r="28" spans="2:9">
      <c r="B28" s="144"/>
      <c r="C28" s="144" t="s">
        <v>170</v>
      </c>
      <c r="D28" s="144"/>
      <c r="E28" s="270">
        <v>0</v>
      </c>
      <c r="F28" s="270">
        <v>0</v>
      </c>
      <c r="G28" s="270">
        <v>0</v>
      </c>
      <c r="H28" s="270">
        <v>0</v>
      </c>
      <c r="I28" s="270">
        <v>0</v>
      </c>
    </row>
    <row r="29" spans="2:9">
      <c r="B29" s="144"/>
      <c r="C29" s="144"/>
      <c r="D29" s="144"/>
      <c r="E29" s="147">
        <f>SUM(E14:E28)</f>
        <v>21482289.645115219</v>
      </c>
      <c r="F29" s="147">
        <f>SUM(F14:F28)</f>
        <v>71309898.565324187</v>
      </c>
      <c r="G29" s="147">
        <f>SUM(G14:G28)</f>
        <v>77226824.793697253</v>
      </c>
      <c r="H29" s="147">
        <f>SUM(H14:H28)</f>
        <v>177472477.32133842</v>
      </c>
      <c r="I29" s="147">
        <f>SUM(I14:I28)</f>
        <v>237115068.43710008</v>
      </c>
    </row>
    <row r="30" spans="2:9">
      <c r="B30" s="144" t="s">
        <v>171</v>
      </c>
      <c r="C30" s="144" t="s">
        <v>172</v>
      </c>
      <c r="D30" s="144"/>
      <c r="E30" s="150">
        <v>0</v>
      </c>
      <c r="F30" s="150">
        <v>0</v>
      </c>
      <c r="G30" s="150">
        <v>0</v>
      </c>
      <c r="H30" s="150">
        <v>0</v>
      </c>
      <c r="I30" s="150">
        <v>0</v>
      </c>
    </row>
    <row r="31" spans="2:9">
      <c r="B31" s="144"/>
      <c r="C31" s="144" t="s">
        <v>173</v>
      </c>
      <c r="D31" s="144"/>
      <c r="E31" s="149">
        <v>0</v>
      </c>
      <c r="F31" s="149">
        <v>0</v>
      </c>
      <c r="G31" s="149">
        <v>0</v>
      </c>
      <c r="H31" s="149">
        <v>0</v>
      </c>
      <c r="I31" s="149">
        <v>0</v>
      </c>
    </row>
    <row r="32" spans="2:9">
      <c r="B32" s="144"/>
      <c r="C32" s="144" t="s">
        <v>174</v>
      </c>
      <c r="D32" s="144"/>
      <c r="E32" s="149">
        <v>0</v>
      </c>
      <c r="F32" s="149">
        <v>0</v>
      </c>
      <c r="G32" s="149">
        <v>0</v>
      </c>
      <c r="H32" s="149">
        <v>0</v>
      </c>
      <c r="I32" s="149">
        <v>0</v>
      </c>
    </row>
    <row r="33" spans="2:9">
      <c r="B33" s="151" t="s">
        <v>175</v>
      </c>
      <c r="C33" s="144"/>
      <c r="D33" s="144"/>
      <c r="E33" s="147">
        <f>E29-SUM(E30:E32)</f>
        <v>21482289.645115219</v>
      </c>
      <c r="F33" s="147">
        <f>F29-SUM(F30:F32)</f>
        <v>71309898.565324187</v>
      </c>
      <c r="G33" s="147">
        <f>G29-SUM(G30:G32)</f>
        <v>77226824.793697253</v>
      </c>
      <c r="H33" s="147">
        <f>H29-SUM(H30:H32)</f>
        <v>177472477.32133842</v>
      </c>
      <c r="I33" s="147">
        <f>I29-SUM(I30:I32)</f>
        <v>237115068.43710008</v>
      </c>
    </row>
    <row r="34" spans="2:9">
      <c r="B34" s="144"/>
      <c r="C34" s="144"/>
      <c r="D34" s="144"/>
      <c r="E34" s="144"/>
      <c r="F34" s="144"/>
      <c r="G34" s="144"/>
      <c r="H34" s="144"/>
      <c r="I34" s="148"/>
    </row>
    <row r="35" spans="2:9">
      <c r="B35" s="151" t="s">
        <v>176</v>
      </c>
      <c r="C35" s="144"/>
      <c r="D35" s="152" t="s">
        <v>177</v>
      </c>
      <c r="E35" s="152"/>
      <c r="F35" s="152"/>
      <c r="G35" s="152"/>
      <c r="H35" s="152"/>
      <c r="I35" s="148"/>
    </row>
    <row r="36" spans="2:9">
      <c r="B36" s="144"/>
      <c r="C36" s="144" t="s">
        <v>499</v>
      </c>
      <c r="D36" s="153"/>
      <c r="E36" s="144">
        <f>IF(+E33&gt;0,E33*$D$36/100,0)</f>
        <v>0</v>
      </c>
      <c r="F36" s="144">
        <f>IF(+F33&gt;0,F33*$D$36/100,0)</f>
        <v>0</v>
      </c>
      <c r="G36" s="144">
        <f>IF(+G33&gt;0,G33*$D$36/100,0)</f>
        <v>0</v>
      </c>
      <c r="H36" s="144">
        <f>IF(+H33&gt;0,H33*$D$36/100,0)</f>
        <v>0</v>
      </c>
      <c r="I36" s="144">
        <f>IF(+I33&gt;0,I33*$D$36/100,0)</f>
        <v>0</v>
      </c>
    </row>
    <row r="37" spans="2:9">
      <c r="B37" s="144"/>
      <c r="C37" s="144" t="s">
        <v>500</v>
      </c>
      <c r="D37" s="152">
        <f>100-D36</f>
        <v>100</v>
      </c>
      <c r="E37" s="144">
        <f>IF(+E33&gt;0,E33*$D$37/100,0)</f>
        <v>21482289.645115219</v>
      </c>
      <c r="F37" s="144">
        <f>IF(+F33&gt;0,F33*$D$37/100,0)</f>
        <v>71309898.565324187</v>
      </c>
      <c r="G37" s="144">
        <f>IF(+G33&gt;0,G33*$D$37/100,0)</f>
        <v>77226824.793697253</v>
      </c>
      <c r="H37" s="144">
        <f>IF(+H33&gt;0,H33*$D$37/100,0)</f>
        <v>177472477.32133842</v>
      </c>
      <c r="I37" s="144">
        <f>IF(+I33&gt;0,I33*$D$37/100,0)</f>
        <v>237115068.43710005</v>
      </c>
    </row>
    <row r="38" spans="2:9">
      <c r="B38" s="144"/>
      <c r="C38" s="148"/>
      <c r="D38" s="271">
        <f t="shared" ref="D38:I38" si="0">D36+D37</f>
        <v>100</v>
      </c>
      <c r="E38" s="147">
        <f t="shared" si="0"/>
        <v>21482289.645115219</v>
      </c>
      <c r="F38" s="147">
        <f t="shared" si="0"/>
        <v>71309898.565324187</v>
      </c>
      <c r="G38" s="147">
        <f t="shared" si="0"/>
        <v>77226824.793697253</v>
      </c>
      <c r="H38" s="147">
        <f t="shared" si="0"/>
        <v>177472477.32133842</v>
      </c>
      <c r="I38" s="147">
        <f t="shared" si="0"/>
        <v>237115068.43710005</v>
      </c>
    </row>
    <row r="39" spans="2:9">
      <c r="B39" s="151" t="s">
        <v>501</v>
      </c>
      <c r="C39" s="144"/>
      <c r="D39" s="144"/>
      <c r="E39" s="144"/>
      <c r="F39" s="144"/>
      <c r="G39" s="144"/>
      <c r="H39" s="144"/>
      <c r="I39" s="148"/>
    </row>
    <row r="40" spans="2:9">
      <c r="B40" s="144" t="s">
        <v>178</v>
      </c>
      <c r="C40" s="144" t="s">
        <v>504</v>
      </c>
      <c r="E40" s="144">
        <f>IF(E36&lt;100000,E36,100000)*0.25</f>
        <v>0</v>
      </c>
      <c r="F40" s="144">
        <f>IF(F36&lt;100000,F36,100000)*0.25</f>
        <v>0</v>
      </c>
      <c r="G40" s="144">
        <f>IF(G36&lt;100000,G36,100000)*0.25</f>
        <v>0</v>
      </c>
      <c r="H40" s="144">
        <f>IF(H36&lt;100000,H36,100000)*0.25</f>
        <v>0</v>
      </c>
      <c r="I40" s="144">
        <f>IF(I36&lt;100000,I36,100000)*0.25</f>
        <v>0</v>
      </c>
    </row>
    <row r="41" spans="2:9">
      <c r="B41" s="144" t="s">
        <v>179</v>
      </c>
      <c r="C41" s="144" t="s">
        <v>505</v>
      </c>
      <c r="E41" s="144">
        <f>IF(IF(E36&gt;500000,400000,E36-IF(E36&lt;100000,E36,100000))&gt;0,IF(E36&gt;500000,400000,E36-IF(E36&lt;100000,E36,100000))*0.35,0)</f>
        <v>0</v>
      </c>
      <c r="F41" s="144">
        <f>IF(IF(F36&gt;500000,400000,F36-IF(F36&lt;100000,F36,100000))&gt;0,IF(F36&gt;500000,400000,F36-IF(F36&lt;100000,F36,100000))*0.35,0)</f>
        <v>0</v>
      </c>
      <c r="G41" s="144">
        <f>IF(IF(G36&gt;500000,400000,G36-IF(G36&lt;100000,G36,100000))&gt;0,IF(G36&gt;500000,400000,G36-IF(G36&lt;100000,G36,100000))*0.35,0)</f>
        <v>0</v>
      </c>
      <c r="H41" s="144">
        <f>IF(IF(H36&gt;500000,400000,H36-IF(H36&lt;100000,H36,100000))&gt;0,IF(H36&gt;500000,400000,H36-IF(H36&lt;100000,H36,100000))*0.35,0)</f>
        <v>0</v>
      </c>
      <c r="I41" s="144">
        <f>IF(IF(I36&gt;500000,400000,I36-IF(I36&lt;100000,I36,100000))&gt;0,IF(I36&gt;500000,400000,I36-IF(I36&lt;100000,I36,100000))*0.35,0)</f>
        <v>0</v>
      </c>
    </row>
    <row r="42" spans="2:9">
      <c r="B42" s="144" t="s">
        <v>179</v>
      </c>
      <c r="C42" s="144" t="s">
        <v>506</v>
      </c>
      <c r="E42" s="144">
        <f>IF(IF(E36&gt;1000000,500000,E36-(IF(E36&lt;100000,E36,100000)+IF(E36&gt;500000,400000,E36-IF(E36&lt;100000,E36,100000))))&gt;0,IF(E36&gt;1000000,500000,E36-(IF(E36&lt;100000,E36,100000)+IF(E36&gt;500000,400000,E36-IF(E36&lt;100000,E36,100000))))*0.4,0)</f>
        <v>0</v>
      </c>
      <c r="F42" s="144">
        <f>IF(IF(F36&gt;1000000,500000,F36-(IF(F36&lt;100000,F36,100000)+IF(F36&gt;500000,400000,F36-IF(F36&lt;100000,F36,100000))))&gt;0,IF(F36&gt;1000000,500000,F36-(IF(F36&lt;100000,F36,100000)+IF(F36&gt;500000,400000,F36-IF(F36&lt;100000,F36,100000))))*0.4,0)</f>
        <v>0</v>
      </c>
      <c r="G42" s="144">
        <f>IF(IF(G36&gt;1000000,500000,G36-(IF(G36&lt;100000,G36,100000)+IF(G36&gt;500000,400000,G36-IF(G36&lt;100000,G36,100000))))&gt;0,IF(G36&gt;1000000,500000,G36-(IF(G36&lt;100000,G36,100000)+IF(G36&gt;500000,400000,G36-IF(G36&lt;100000,G36,100000))))*0.4,0)</f>
        <v>0</v>
      </c>
      <c r="H42" s="144">
        <f>IF(IF(H36&gt;1000000,500000,H36-(IF(H36&lt;100000,H36,100000)+IF(H36&gt;500000,400000,H36-IF(H36&lt;100000,H36,100000))))&gt;0,IF(H36&gt;1000000,500000,H36-(IF(H36&lt;100000,H36,100000)+IF(H36&gt;500000,400000,H36-IF(H36&lt;100000,H36,100000))))*0.4,0)</f>
        <v>0</v>
      </c>
      <c r="I42" s="144">
        <f>IF(IF(I36&gt;1000000,500000,I36-(IF(I36&lt;100000,I36,100000)+IF(I36&gt;500000,400000,I36-IF(I36&lt;100000,I36,100000))))&gt;0,IF(I36&gt;1000000,500000,I36-(IF(I36&lt;100000,I36,100000)+IF(I36&gt;500000,400000,I36-IF(I36&lt;100000,I36,100000))))*0.4,0)</f>
        <v>0</v>
      </c>
    </row>
    <row r="43" spans="2:9">
      <c r="B43" s="144" t="s">
        <v>180</v>
      </c>
      <c r="C43" s="144" t="s">
        <v>507</v>
      </c>
      <c r="E43" s="144">
        <f>IF(IF(E36&gt;1000000,E36-1000000,E36-IF(E36&lt;100000,E36,100000)-IF(E36&gt;500000,400000,E36-IF(E36&lt;100000,E36,100000))-IF(E36&gt;1000000,500000,E36-(IF(E36&lt;100000,E36,100000)+IF(E36&gt;500000,400000,E36-IF(E36&lt;100000,E36,100000)))))&gt;0,IF(E36&gt;1000000,E36-1000000,E36-IF(E36&lt;100000,E36,100000)-IF(E36&gt;500000,400000,E36-IF(E36&lt;100000,E36,100000))-IF(E36&gt;1000000,500000,E36-(IF(E36&lt;100000,E36,100000)+IF(E36&gt;500000,400000,E36-IF(E36&lt;100000,E36,100000)))))*0.45,0)</f>
        <v>0</v>
      </c>
      <c r="F43" s="144">
        <f>IF(IF(F36&gt;1000000,F36-1000000,F36-IF(F36&lt;100000,F36,100000)-IF(F36&gt;500000,400000,F36-IF(F36&lt;100000,F36,100000))-IF(F36&gt;1000000,500000,F36-(IF(F36&lt;100000,F36,100000)+IF(F36&gt;500000,400000,F36-IF(F36&lt;100000,F36,100000)))))&gt;0,IF(F36&gt;1000000,F36-1000000,F36-IF(F36&lt;100000,F36,100000)-IF(F36&gt;500000,400000,F36-IF(F36&lt;100000,F36,100000))-IF(F36&gt;1000000,500000,F36-(IF(F36&lt;100000,F36,100000)+IF(F36&gt;500000,400000,F36-IF(F36&lt;100000,F36,100000)))))*0.45,0)</f>
        <v>0</v>
      </c>
      <c r="G43" s="144">
        <f>IF(IF(G36&gt;1000000,G36-1000000,G36-IF(G36&lt;100000,G36,100000)-IF(G36&gt;500000,400000,G36-IF(G36&lt;100000,G36,100000))-IF(G36&gt;1000000,500000,G36-(IF(G36&lt;100000,G36,100000)+IF(G36&gt;500000,400000,G36-IF(G36&lt;100000,G36,100000)))))&gt;0,IF(G36&gt;1000000,G36-1000000,G36-IF(G36&lt;100000,G36,100000)-IF(G36&gt;500000,400000,G36-IF(G36&lt;100000,G36,100000))-IF(G36&gt;1000000,500000,G36-(IF(G36&lt;100000,G36,100000)+IF(G36&gt;500000,400000,G36-IF(G36&lt;100000,G36,100000)))))*0.45,0)</f>
        <v>0</v>
      </c>
      <c r="H43" s="144">
        <f>IF(IF(H36&gt;1000000,H36-1000000,H36-IF(H36&lt;100000,H36,100000)-IF(H36&gt;500000,400000,H36-IF(H36&lt;100000,H36,100000))-IF(H36&gt;1000000,500000,H36-(IF(H36&lt;100000,H36,100000)+IF(H36&gt;500000,400000,H36-IF(H36&lt;100000,H36,100000)))))&gt;0,IF(H36&gt;1000000,H36-1000000,H36-IF(H36&lt;100000,H36,100000)-IF(H36&gt;500000,400000,H36-IF(H36&lt;100000,H36,100000))-IF(H36&gt;1000000,500000,H36-(IF(H36&lt;100000,H36,100000)+IF(H36&gt;500000,400000,H36-IF(H36&lt;100000,H36,100000)))))*0.45,0)</f>
        <v>0</v>
      </c>
      <c r="I43" s="144">
        <f>IF(IF(I36&gt;1000000,I36-1000000,I36-IF(I36&lt;100000,I36,100000)-IF(I36&gt;500000,400000,I36-IF(I36&lt;100000,I36,100000))-IF(I36&gt;1000000,500000,I36-(IF(I36&lt;100000,I36,100000)+IF(I36&gt;500000,400000,I36-IF(I36&lt;100000,I36,100000)))))&gt;0,IF(I36&gt;1000000,I36-1000000,I36-IF(I36&lt;100000,I36,100000)-IF(I36&gt;500000,400000,I36-IF(I36&lt;100000,I36,100000))-IF(I36&gt;1000000,500000,I36-(IF(I36&lt;100000,I36,100000)+IF(I36&gt;500000,400000,I36-IF(I36&lt;100000,I36,100000)))))*0.45,0)</f>
        <v>0</v>
      </c>
    </row>
    <row r="44" spans="2:9">
      <c r="B44" s="151" t="s">
        <v>181</v>
      </c>
      <c r="C44" s="144"/>
      <c r="E44" s="154">
        <f>SUM(E40:E43)</f>
        <v>0</v>
      </c>
      <c r="F44" s="154">
        <f>SUM(F40:F43)</f>
        <v>0</v>
      </c>
      <c r="G44" s="154">
        <f>SUM(G40:G43)</f>
        <v>0</v>
      </c>
      <c r="H44" s="154">
        <f>SUM(H40:H43)</f>
        <v>0</v>
      </c>
      <c r="I44" s="154">
        <f>SUM(I40:I43)</f>
        <v>0</v>
      </c>
    </row>
    <row r="45" spans="2:9">
      <c r="B45" s="144"/>
      <c r="C45" s="144"/>
      <c r="D45" s="144"/>
      <c r="E45" s="144"/>
      <c r="F45" s="144"/>
      <c r="G45" s="144"/>
      <c r="H45" s="144"/>
      <c r="I45" s="148"/>
    </row>
    <row r="46" spans="2:9">
      <c r="B46" s="144"/>
      <c r="C46" s="144"/>
      <c r="D46" s="144"/>
      <c r="E46" s="144"/>
      <c r="F46" s="144"/>
      <c r="G46" s="144"/>
      <c r="H46" s="144"/>
      <c r="I46" s="148"/>
    </row>
    <row r="47" spans="2:9">
      <c r="B47" s="148"/>
      <c r="C47" s="144"/>
      <c r="D47" s="144"/>
      <c r="E47" s="144"/>
      <c r="F47" s="144"/>
      <c r="G47" s="144"/>
      <c r="H47" s="144"/>
      <c r="I47" s="148"/>
    </row>
    <row r="48" spans="2:9">
      <c r="B48" s="151" t="s">
        <v>509</v>
      </c>
      <c r="C48" s="144"/>
      <c r="D48" s="144"/>
      <c r="E48" s="272">
        <f t="array" ref="E48:I48">E5:I5</f>
        <v>2009</v>
      </c>
      <c r="F48" s="272">
        <v>2010</v>
      </c>
      <c r="G48" s="272">
        <v>2011</v>
      </c>
      <c r="H48" s="272">
        <v>2012</v>
      </c>
      <c r="I48" s="272">
        <v>2013</v>
      </c>
    </row>
    <row r="49" spans="2:9">
      <c r="B49" s="144"/>
      <c r="C49" s="144"/>
      <c r="D49" s="144"/>
      <c r="E49" s="155"/>
      <c r="F49" s="155"/>
      <c r="G49" s="155"/>
      <c r="H49" s="144"/>
      <c r="I49" s="148"/>
    </row>
    <row r="50" spans="2:9">
      <c r="B50" s="144" t="s">
        <v>182</v>
      </c>
      <c r="C50" s="144"/>
      <c r="D50" s="144"/>
      <c r="E50" s="144"/>
      <c r="F50" s="144"/>
      <c r="G50" s="144"/>
      <c r="H50" s="144"/>
      <c r="I50" s="148"/>
    </row>
    <row r="51" spans="2:9">
      <c r="B51" s="144"/>
      <c r="C51" s="144" t="s">
        <v>183</v>
      </c>
      <c r="D51" s="144"/>
      <c r="E51" s="144">
        <f>Balancesheet!C36</f>
        <v>1000000</v>
      </c>
      <c r="F51" s="144">
        <f>Balancesheet!E36</f>
        <v>1000000</v>
      </c>
      <c r="G51" s="144">
        <f>Balancesheet!F36</f>
        <v>1000000</v>
      </c>
      <c r="H51" s="144">
        <f>Balancesheet!G36</f>
        <v>1000000</v>
      </c>
      <c r="I51" s="144">
        <f>Balancesheet!H36</f>
        <v>1000000</v>
      </c>
    </row>
    <row r="52" spans="2:9">
      <c r="B52" s="144"/>
      <c r="C52" s="144" t="s">
        <v>184</v>
      </c>
      <c r="D52" s="144"/>
      <c r="E52" s="144">
        <f>Balancesheet!C37</f>
        <v>0</v>
      </c>
      <c r="F52" s="144">
        <f>Balancesheet!E37</f>
        <v>100000</v>
      </c>
      <c r="G52" s="144">
        <f>Balancesheet!F37</f>
        <v>100000</v>
      </c>
      <c r="H52" s="144">
        <f>Balancesheet!G37</f>
        <v>100000</v>
      </c>
      <c r="I52" s="144">
        <f>Balancesheet!H37</f>
        <v>100000</v>
      </c>
    </row>
    <row r="53" spans="2:9">
      <c r="B53" s="144"/>
      <c r="C53" s="144" t="s">
        <v>147</v>
      </c>
      <c r="D53" s="144"/>
      <c r="E53" s="144">
        <f>Balancesheet!C38</f>
        <v>0</v>
      </c>
      <c r="F53" s="144">
        <f>Balancesheet!E38</f>
        <v>16166903.988019451</v>
      </c>
      <c r="G53" s="144">
        <f>Balancesheet!F38</f>
        <v>71004821.832512617</v>
      </c>
      <c r="H53" s="144">
        <f>Balancesheet!G38</f>
        <v>129336976.72986767</v>
      </c>
      <c r="I53" s="144">
        <f>Balancesheet!H38</f>
        <v>264713471.70245647</v>
      </c>
    </row>
    <row r="54" spans="2:9">
      <c r="B54" s="144"/>
      <c r="C54" s="144" t="s">
        <v>185</v>
      </c>
      <c r="D54" s="144"/>
      <c r="E54" s="144">
        <v>0</v>
      </c>
      <c r="F54" s="144">
        <v>0</v>
      </c>
      <c r="G54" s="144">
        <v>0</v>
      </c>
      <c r="H54" s="144">
        <v>0</v>
      </c>
      <c r="I54" s="144">
        <v>0</v>
      </c>
    </row>
    <row r="55" spans="2:9">
      <c r="B55" s="144"/>
      <c r="C55" s="144" t="s">
        <v>162</v>
      </c>
      <c r="D55" s="144"/>
      <c r="E55" s="144"/>
      <c r="F55" s="144"/>
      <c r="G55" s="144"/>
      <c r="H55" s="144"/>
      <c r="I55" s="144"/>
    </row>
    <row r="56" spans="2:9">
      <c r="B56" s="144"/>
      <c r="C56" s="144"/>
      <c r="D56" s="144"/>
      <c r="E56" s="147">
        <f>SUM(E51:E55)</f>
        <v>1000000</v>
      </c>
      <c r="F56" s="147">
        <f>SUM(F51:F55)</f>
        <v>17266903.988019451</v>
      </c>
      <c r="G56" s="147">
        <f>SUM(G51:G55)</f>
        <v>72104821.832512617</v>
      </c>
      <c r="H56" s="147">
        <f>SUM(H51:H55)</f>
        <v>130436976.72986767</v>
      </c>
      <c r="I56" s="147">
        <f>SUM(I51:I55)</f>
        <v>265813471.70245647</v>
      </c>
    </row>
    <row r="57" spans="2:9">
      <c r="B57" s="144" t="s">
        <v>186</v>
      </c>
      <c r="C57" s="144"/>
      <c r="D57" s="144"/>
      <c r="E57" s="144"/>
      <c r="F57" s="144"/>
      <c r="G57" s="144"/>
      <c r="H57" s="144"/>
      <c r="I57" s="148"/>
    </row>
    <row r="58" spans="2:9">
      <c r="B58" s="144"/>
      <c r="C58" s="144" t="s">
        <v>187</v>
      </c>
      <c r="D58" s="144"/>
      <c r="E58" s="144">
        <f>E33</f>
        <v>21482289.645115219</v>
      </c>
      <c r="F58" s="144">
        <f>F33</f>
        <v>71309898.565324187</v>
      </c>
      <c r="G58" s="144">
        <f>G33</f>
        <v>77226824.793697253</v>
      </c>
      <c r="H58" s="144">
        <f>H33</f>
        <v>177472477.32133842</v>
      </c>
      <c r="I58" s="144">
        <f>I33</f>
        <v>237115068.43710008</v>
      </c>
    </row>
    <row r="59" spans="2:9">
      <c r="B59" s="144"/>
      <c r="C59" s="144" t="s">
        <v>150</v>
      </c>
      <c r="D59" s="144"/>
      <c r="E59" s="144">
        <f>'Loan Schedule'!D19</f>
        <v>416666.66666666669</v>
      </c>
      <c r="F59" s="144">
        <f>'Loan Schedule'!E19</f>
        <v>333333.33333333337</v>
      </c>
      <c r="G59" s="144">
        <f>'Loan Schedule'!F19</f>
        <v>250000.00000000006</v>
      </c>
      <c r="H59" s="144">
        <f>'Loan Schedule'!G19</f>
        <v>166666.66666666674</v>
      </c>
      <c r="I59" s="144">
        <f>'Loan Schedule'!H19</f>
        <v>83333.333333333416</v>
      </c>
    </row>
    <row r="60" spans="2:9">
      <c r="B60" s="144"/>
      <c r="C60" s="144" t="s">
        <v>502</v>
      </c>
      <c r="D60" s="144"/>
      <c r="E60" s="150">
        <v>0</v>
      </c>
      <c r="F60" s="150">
        <v>0</v>
      </c>
      <c r="G60" s="150">
        <v>0</v>
      </c>
      <c r="H60" s="150">
        <v>0</v>
      </c>
      <c r="I60" s="150">
        <v>0</v>
      </c>
    </row>
    <row r="61" spans="2:9">
      <c r="B61" s="144"/>
      <c r="C61" s="144"/>
      <c r="D61" s="144"/>
      <c r="E61" s="147">
        <f>SUM(E56:E60)</f>
        <v>22898956.311781887</v>
      </c>
      <c r="F61" s="147">
        <f>SUM(F56:F60)</f>
        <v>88910135.886676967</v>
      </c>
      <c r="G61" s="147">
        <f>SUM(G56:G60)</f>
        <v>149581646.62620986</v>
      </c>
      <c r="H61" s="147">
        <f>SUM(H56:H60)</f>
        <v>308076120.7178728</v>
      </c>
      <c r="I61" s="147">
        <f>SUM(I56:I60)</f>
        <v>503011873.47288984</v>
      </c>
    </row>
    <row r="62" spans="2:9">
      <c r="B62" s="144" t="s">
        <v>171</v>
      </c>
      <c r="C62" s="144"/>
      <c r="D62" s="144"/>
      <c r="E62" s="144"/>
      <c r="F62" s="144"/>
      <c r="G62" s="144"/>
      <c r="H62" s="144"/>
      <c r="I62" s="148"/>
    </row>
    <row r="63" spans="2:9">
      <c r="B63" s="144"/>
      <c r="C63" s="144" t="s">
        <v>188</v>
      </c>
      <c r="D63" s="144"/>
      <c r="E63" s="144">
        <f>Balancesheet!E11</f>
        <v>2988125</v>
      </c>
      <c r="F63" s="144">
        <f>Balancesheet!F11</f>
        <v>2264375</v>
      </c>
      <c r="G63" s="144">
        <f>Balancesheet!G11</f>
        <v>1540625</v>
      </c>
      <c r="H63" s="144">
        <f>Balancesheet!H11</f>
        <v>2995937.5</v>
      </c>
      <c r="I63" s="144">
        <f>Balancesheet!I11</f>
        <v>2248750</v>
      </c>
    </row>
    <row r="64" spans="2:9">
      <c r="B64" s="144"/>
      <c r="C64" s="144" t="s">
        <v>44</v>
      </c>
      <c r="D64" s="144"/>
      <c r="E64" s="144">
        <f>Balancesheet!E12</f>
        <v>0</v>
      </c>
      <c r="F64" s="144">
        <f>Balancesheet!F12</f>
        <v>0</v>
      </c>
      <c r="G64" s="144">
        <f>Balancesheet!G12</f>
        <v>0</v>
      </c>
      <c r="H64" s="144">
        <f>Balancesheet!H12</f>
        <v>0</v>
      </c>
      <c r="I64" s="144">
        <f>Balancesheet!I12</f>
        <v>0</v>
      </c>
    </row>
    <row r="65" spans="2:10">
      <c r="B65" s="144"/>
      <c r="C65" s="144" t="s">
        <v>130</v>
      </c>
      <c r="D65" s="144"/>
      <c r="E65" s="144">
        <f>Balancesheet!E13</f>
        <v>2546409.6758520985</v>
      </c>
      <c r="F65" s="144">
        <f>Balancesheet!F13</f>
        <v>1909807.2568890741</v>
      </c>
      <c r="G65" s="144">
        <f>Balancesheet!G13</f>
        <v>1273204.8379260495</v>
      </c>
      <c r="H65" s="144">
        <f>Balancesheet!H13</f>
        <v>636602.41896302486</v>
      </c>
      <c r="I65" s="144">
        <f>Balancesheet!I13</f>
        <v>0</v>
      </c>
    </row>
    <row r="66" spans="2:10">
      <c r="B66" s="144"/>
      <c r="C66" s="144"/>
      <c r="D66" s="144"/>
      <c r="E66" s="156">
        <f>E61-SUM(E63:E65)</f>
        <v>17364421.635929789</v>
      </c>
      <c r="F66" s="156">
        <f>F61-SUM(F63:F65)</f>
        <v>84735953.629787892</v>
      </c>
      <c r="G66" s="156">
        <f>G61-SUM(G63:G65)</f>
        <v>146767816.7882838</v>
      </c>
      <c r="H66" s="156">
        <f>H61-SUM(H63:H65)</f>
        <v>304443580.79890978</v>
      </c>
      <c r="I66" s="156">
        <f>I61-SUM(I63:I65)</f>
        <v>500763123.47288984</v>
      </c>
    </row>
    <row r="67" spans="2:10">
      <c r="B67" s="144" t="s">
        <v>186</v>
      </c>
      <c r="C67" s="144" t="s">
        <v>189</v>
      </c>
      <c r="D67" s="144"/>
      <c r="E67" s="144">
        <f>IF(E58&gt;E66,E58-E66,0)</f>
        <v>4117868.0091854297</v>
      </c>
      <c r="F67" s="144">
        <f>IF(F58&gt;F66,F58-F66,0)</f>
        <v>0</v>
      </c>
      <c r="G67" s="144">
        <f>IF(G58&gt;G66,G58-G66,0)</f>
        <v>0</v>
      </c>
      <c r="H67" s="144">
        <f>IF(H58&gt;H66,H58-H66,0)</f>
        <v>0</v>
      </c>
      <c r="I67" s="144">
        <f>IF(I58&gt;I66,I58-I66,0)</f>
        <v>0</v>
      </c>
    </row>
    <row r="68" spans="2:10">
      <c r="B68" s="151" t="s">
        <v>510</v>
      </c>
      <c r="C68" s="144"/>
      <c r="D68" s="144"/>
      <c r="E68" s="147">
        <f>E66+E67</f>
        <v>21482289.645115219</v>
      </c>
      <c r="F68" s="147">
        <f>F66+F67</f>
        <v>84735953.629787892</v>
      </c>
      <c r="G68" s="147">
        <f>G66+G67</f>
        <v>146767816.7882838</v>
      </c>
      <c r="H68" s="147">
        <f>H66+H67</f>
        <v>304443580.79890978</v>
      </c>
      <c r="I68" s="147">
        <f>I66+I67</f>
        <v>500763123.47288984</v>
      </c>
    </row>
    <row r="69" spans="2:10">
      <c r="B69" s="144"/>
      <c r="C69" s="144"/>
      <c r="D69" s="144"/>
      <c r="E69" s="144"/>
      <c r="F69" s="144"/>
      <c r="G69" s="144"/>
      <c r="H69" s="144"/>
      <c r="I69" s="148"/>
    </row>
    <row r="70" spans="2:10">
      <c r="B70" s="144"/>
      <c r="C70" s="144" t="s">
        <v>503</v>
      </c>
      <c r="D70" s="157">
        <f>D37/100</f>
        <v>1</v>
      </c>
      <c r="E70" s="144">
        <f>E68*$D$70</f>
        <v>21482289.645115219</v>
      </c>
      <c r="F70" s="144">
        <f>F68*$D$70</f>
        <v>84735953.629787892</v>
      </c>
      <c r="G70" s="144">
        <f>G68*$D$70</f>
        <v>146767816.7882838</v>
      </c>
      <c r="H70" s="144">
        <f>H68*$D$70</f>
        <v>304443580.79890978</v>
      </c>
      <c r="I70" s="144">
        <f>I68*$D$70</f>
        <v>500763123.47288984</v>
      </c>
    </row>
    <row r="71" spans="2:10">
      <c r="B71" s="144"/>
      <c r="C71" s="144"/>
      <c r="D71" s="158"/>
      <c r="E71" s="144"/>
      <c r="F71" s="144"/>
      <c r="G71" s="144"/>
      <c r="H71" s="144"/>
      <c r="I71" s="148"/>
    </row>
    <row r="72" spans="2:10">
      <c r="B72" s="144" t="s">
        <v>511</v>
      </c>
      <c r="C72" s="144"/>
      <c r="D72" s="157">
        <f>2.5/100</f>
        <v>2.5000000000000001E-2</v>
      </c>
      <c r="E72" s="159">
        <f>IF($D$72*E70&lt;0,0,$D$72*E70)</f>
        <v>537057.24112788052</v>
      </c>
      <c r="F72" s="159">
        <f>IF($D$72*F70&lt;0,0,$D$72*F70)+E74</f>
        <v>2118398.8407446975</v>
      </c>
      <c r="G72" s="159">
        <f>IF($D$72*G70&lt;0,0,$D$72*G70)+F74</f>
        <v>3669195.4197070953</v>
      </c>
      <c r="H72" s="159">
        <f>IF($D$72*H70&lt;0,0,$D$72*H70)+G74</f>
        <v>7611089.5199727453</v>
      </c>
      <c r="I72" s="159">
        <f>IF($D$72*I70&lt;0,0,$D$72*I70)+H74</f>
        <v>12519078.086822247</v>
      </c>
    </row>
    <row r="73" spans="2:10">
      <c r="B73" s="170" t="s">
        <v>512</v>
      </c>
      <c r="E73" s="79">
        <f>IF(E58&lt;0,0,E72)</f>
        <v>537057.24112788052</v>
      </c>
      <c r="F73" s="79">
        <f>IF(F58&lt;0,0,F72)</f>
        <v>2118398.8407446975</v>
      </c>
      <c r="G73" s="79">
        <f>IF(G58&lt;0,0,G72)</f>
        <v>3669195.4197070953</v>
      </c>
      <c r="H73" s="79">
        <f>IF(H58&lt;0,0,H72)</f>
        <v>7611089.5199727453</v>
      </c>
      <c r="I73" s="79">
        <f>IF(I58&lt;0,0,I72)</f>
        <v>12519078.086822247</v>
      </c>
    </row>
    <row r="74" spans="2:10">
      <c r="B74" s="170" t="s">
        <v>513</v>
      </c>
      <c r="E74" s="79">
        <f>E72-E73</f>
        <v>0</v>
      </c>
      <c r="F74" s="79">
        <f>F72-F73</f>
        <v>0</v>
      </c>
      <c r="G74" s="79">
        <f>G72-G73</f>
        <v>0</v>
      </c>
      <c r="H74" s="79">
        <f>H72-H73</f>
        <v>0</v>
      </c>
      <c r="I74" s="79">
        <f>I72-I73</f>
        <v>0</v>
      </c>
    </row>
    <row r="75" spans="2:10" s="9" customFormat="1" ht="15.75">
      <c r="B75" s="38" t="str">
        <f>"1. "&amp;IF(toggle_1="Yes",footnote_1,"")</f>
        <v>1. Source of data: Sample Company</v>
      </c>
      <c r="C75" s="38"/>
      <c r="D75" s="38"/>
      <c r="E75" s="38"/>
      <c r="F75" s="38"/>
      <c r="G75" s="38"/>
      <c r="H75" s="38"/>
      <c r="I75" s="38"/>
    </row>
    <row r="76" spans="2:10" s="9" customFormat="1" ht="16.5" thickBot="1">
      <c r="B76" s="70" t="str">
        <f>"2. "&amp;IF(toggle_2="Yes",footnote_2,"")</f>
        <v>2. Some totals may not add due to rounding.  See Statement of Limiting Conditions.</v>
      </c>
      <c r="C76" s="70"/>
      <c r="D76" s="70"/>
      <c r="E76" s="70"/>
      <c r="F76" s="70"/>
      <c r="G76" s="70"/>
      <c r="H76" s="70"/>
      <c r="I76" s="70"/>
      <c r="J76"/>
    </row>
    <row r="77" spans="2:10" s="9" customFormat="1" ht="23.25">
      <c r="B77" s="71" t="str">
        <f>IF(toggle_3="Yes",footnote_3,"")</f>
        <v>Draft and preliminary.</v>
      </c>
      <c r="C77" s="38"/>
      <c r="D77" s="38"/>
      <c r="E77" s="38"/>
      <c r="F77" s="38"/>
      <c r="G77" s="38"/>
      <c r="H77"/>
      <c r="I77" s="72"/>
      <c r="J77"/>
    </row>
    <row r="78" spans="2:10" s="9" customFormat="1" ht="23.25">
      <c r="B78" s="71" t="str">
        <f>IF(toggle_4="Yes",footnote_4,"")</f>
        <v>All data subject to change upon completion of additional analysis.</v>
      </c>
      <c r="C78" s="38"/>
      <c r="D78" s="38"/>
      <c r="E78" s="38"/>
      <c r="F78" s="38"/>
      <c r="G78" s="38"/>
      <c r="H78"/>
      <c r="I78" s="73" t="str">
        <f>IF(toggle_5="Yes",copyright,"")</f>
        <v>© 2009 by p2w2.  All rights reserved.</v>
      </c>
      <c r="J78"/>
    </row>
  </sheetData>
  <pageMargins left="0.75" right="0.75" top="1" bottom="1" header="0.5" footer="0.5"/>
  <pageSetup paperSize="9" scale="72" fitToHeight="2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C34"/>
  <sheetViews>
    <sheetView topLeftCell="A23" workbookViewId="0">
      <selection activeCell="H46" sqref="H46"/>
    </sheetView>
  </sheetViews>
  <sheetFormatPr defaultRowHeight="12.75"/>
  <cols>
    <col min="1" max="1" width="20.7109375" customWidth="1"/>
    <col min="2" max="2" width="21.28515625" customWidth="1"/>
    <col min="3" max="3" width="17.7109375" customWidth="1"/>
    <col min="4" max="8" width="20.7109375" customWidth="1"/>
    <col min="9" max="9" width="13.5703125" bestFit="1" customWidth="1"/>
    <col min="10" max="10" width="11" customWidth="1"/>
    <col min="11" max="11" width="12" customWidth="1"/>
  </cols>
  <sheetData>
    <row r="1" spans="2:29" s="64" customFormat="1" ht="46.5" customHeight="1" thickBot="1">
      <c r="B1" s="67" t="str">
        <f>co_name</f>
        <v>Sample Company</v>
      </c>
      <c r="C1" s="67"/>
      <c r="D1" s="67"/>
      <c r="E1" s="67"/>
      <c r="F1" s="67"/>
      <c r="G1" s="67"/>
      <c r="H1" s="86"/>
      <c r="I1" s="86" t="str">
        <f>"Exhibit "&amp;_exh14</f>
        <v>Exhibit 14</v>
      </c>
      <c r="J1"/>
      <c r="K1"/>
    </row>
    <row r="2" spans="2:29" s="9" customFormat="1" ht="18.75">
      <c r="B2" s="66" t="str">
        <f>proj_name</f>
        <v>Marine Operations Services</v>
      </c>
      <c r="G2"/>
      <c r="H2" s="68"/>
      <c r="I2" s="68">
        <f ca="1">IF(date_toggle=1,run_date,"")</f>
        <v>39918</v>
      </c>
      <c r="J2"/>
      <c r="K2"/>
    </row>
    <row r="3" spans="2:29" s="9" customFormat="1" ht="18.75">
      <c r="B3" s="65" t="s">
        <v>88</v>
      </c>
      <c r="G3"/>
      <c r="H3" s="69"/>
      <c r="I3" s="69">
        <f ca="1">IF(time_toggle=1,run_time,"")</f>
        <v>39918.566740393515</v>
      </c>
      <c r="J3"/>
      <c r="K3"/>
    </row>
    <row r="4" spans="2:29" s="9" customFormat="1" ht="15.75">
      <c r="B4" s="390" t="str">
        <f>curr</f>
        <v>(in US Dollars)</v>
      </c>
    </row>
    <row r="5" spans="2:29" ht="13.5" thickBot="1"/>
    <row r="6" spans="2:29" s="103" customFormat="1" ht="39.75" customHeight="1">
      <c r="D6" s="129" t="s">
        <v>89</v>
      </c>
      <c r="E6" s="130" t="s">
        <v>90</v>
      </c>
      <c r="F6" s="130" t="s">
        <v>91</v>
      </c>
      <c r="G6" s="130" t="s">
        <v>92</v>
      </c>
      <c r="H6" s="131" t="s">
        <v>93</v>
      </c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 s="132" t="s">
        <v>94</v>
      </c>
    </row>
    <row r="7" spans="2:29" s="103" customFormat="1" ht="15.75">
      <c r="B7" s="9" t="s">
        <v>95</v>
      </c>
      <c r="D7" s="133"/>
      <c r="E7" s="162">
        <v>40148</v>
      </c>
      <c r="F7" s="134">
        <v>24</v>
      </c>
      <c r="G7" s="135">
        <v>30</v>
      </c>
      <c r="H7" s="136">
        <v>0.02</v>
      </c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 s="138">
        <f>+(Z7+AA7+(Z7+AA7-AB7))/2*$H7</f>
        <v>0</v>
      </c>
    </row>
    <row r="8" spans="2:29" s="103" customFormat="1" ht="15.75">
      <c r="B8" s="9" t="s">
        <v>96</v>
      </c>
      <c r="D8" s="257">
        <f>500000</f>
        <v>500000</v>
      </c>
      <c r="E8" s="162">
        <f>Assumptions!C6</f>
        <v>39994</v>
      </c>
      <c r="F8" s="134">
        <v>6</v>
      </c>
      <c r="G8" s="135">
        <v>360</v>
      </c>
      <c r="H8" s="136">
        <v>0.02</v>
      </c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 s="138">
        <f>+(Z8+AA8+(Z8+AA8-AB8))/2*$H8</f>
        <v>0</v>
      </c>
    </row>
    <row r="9" spans="2:29" s="103" customFormat="1" ht="15.75">
      <c r="B9" s="9" t="s">
        <v>97</v>
      </c>
      <c r="D9" s="133">
        <v>0</v>
      </c>
      <c r="E9" s="162">
        <v>40179</v>
      </c>
      <c r="F9" s="134">
        <v>12</v>
      </c>
      <c r="G9" s="135">
        <v>360</v>
      </c>
      <c r="H9" s="136">
        <v>0.01</v>
      </c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 s="138">
        <f>+(Z9+AA9+(Z9+AA9-AB9))/2*$H9</f>
        <v>0</v>
      </c>
    </row>
    <row r="10" spans="2:29" s="103" customFormat="1" ht="16.5" thickBot="1">
      <c r="B10" s="9" t="s">
        <v>98</v>
      </c>
      <c r="D10" s="133">
        <v>0</v>
      </c>
      <c r="E10" s="162">
        <v>40544</v>
      </c>
      <c r="F10" s="134">
        <v>12</v>
      </c>
      <c r="G10" s="135">
        <v>360</v>
      </c>
      <c r="H10" s="136">
        <v>0.01</v>
      </c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 s="138">
        <f>+(Z10+AA10+(Z10+AA10-AB10))/2*$H10</f>
        <v>0</v>
      </c>
    </row>
    <row r="11" spans="2:29" s="103" customFormat="1" ht="16.5" thickBot="1">
      <c r="B11" s="9" t="s">
        <v>99</v>
      </c>
      <c r="D11" s="165"/>
      <c r="E11" s="166"/>
      <c r="F11" s="166"/>
      <c r="G11" s="166"/>
      <c r="H11" s="139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 s="138">
        <f>SUM(AC7:AC10)</f>
        <v>0</v>
      </c>
    </row>
    <row r="12" spans="2:29" s="103" customFormat="1" ht="15">
      <c r="D12" s="140"/>
      <c r="E12" s="160"/>
      <c r="F12" s="141"/>
      <c r="G12" s="141"/>
      <c r="H12" s="141"/>
      <c r="I12" s="137"/>
      <c r="J12" s="137"/>
      <c r="K12" s="137"/>
      <c r="L12" s="137"/>
      <c r="M12" s="137"/>
      <c r="N12" s="137"/>
      <c r="O12" s="137"/>
      <c r="P12" s="137"/>
      <c r="Q12" s="137"/>
      <c r="R12" s="137"/>
      <c r="S12" s="137"/>
      <c r="T12" s="137"/>
      <c r="U12" s="137"/>
      <c r="V12" s="137"/>
      <c r="W12" s="137"/>
      <c r="X12" s="137"/>
      <c r="Y12" s="137"/>
      <c r="Z12" s="137"/>
      <c r="AA12" s="137"/>
      <c r="AB12" s="137"/>
    </row>
    <row r="13" spans="2:29" s="103" customFormat="1" ht="15.75">
      <c r="B13" s="168" t="s">
        <v>100</v>
      </c>
      <c r="C13"/>
      <c r="D13"/>
      <c r="E13"/>
      <c r="F13"/>
      <c r="G13"/>
      <c r="H13"/>
      <c r="I13"/>
      <c r="J13"/>
    </row>
    <row r="14" spans="2:29" s="103" customFormat="1" ht="15.75">
      <c r="D14" s="251">
        <f>first_year</f>
        <v>2009</v>
      </c>
      <c r="E14" s="251">
        <f>D14+1</f>
        <v>2010</v>
      </c>
      <c r="F14" s="251">
        <f>E14+1</f>
        <v>2011</v>
      </c>
      <c r="G14" s="251">
        <f>F14+1</f>
        <v>2012</v>
      </c>
      <c r="H14" s="251">
        <f>G14+1</f>
        <v>2013</v>
      </c>
      <c r="I14" s="251">
        <f>H14+1</f>
        <v>2014</v>
      </c>
      <c r="J14"/>
      <c r="L14" s="161"/>
    </row>
    <row r="15" spans="2:29" s="103" customFormat="1" ht="15">
      <c r="K15" s="142"/>
      <c r="L15" s="161"/>
    </row>
    <row r="16" spans="2:29" s="103" customFormat="1" ht="15.75">
      <c r="B16" s="9" t="s">
        <v>25</v>
      </c>
      <c r="D16" s="225">
        <v>0</v>
      </c>
      <c r="E16" s="225">
        <f>D19</f>
        <v>416666.66666666669</v>
      </c>
      <c r="F16" s="225">
        <f>E19</f>
        <v>333333.33333333337</v>
      </c>
      <c r="G16" s="225">
        <f>F19</f>
        <v>250000.00000000006</v>
      </c>
      <c r="H16" s="225">
        <f>G19</f>
        <v>166666.66666666674</v>
      </c>
      <c r="I16" s="225">
        <f>H19</f>
        <v>83333.333333333416</v>
      </c>
      <c r="J16"/>
      <c r="K16" s="142"/>
      <c r="L16" s="161"/>
    </row>
    <row r="17" spans="2:11" s="103" customFormat="1" ht="15.75">
      <c r="B17" s="9" t="s">
        <v>101</v>
      </c>
      <c r="D17" s="225">
        <f t="shared" ref="D17:I17" si="0">IF(YEAR($E7)=D14,$D7,0)+IF(YEAR($E8)=D14,$D8,0)+IF(YEAR($E9)=D14,$D9,0)+IF(YEAR($E10)=D14,$D10,0)</f>
        <v>500000</v>
      </c>
      <c r="E17" s="225">
        <f t="shared" si="0"/>
        <v>0</v>
      </c>
      <c r="F17" s="225">
        <f t="shared" si="0"/>
        <v>0</v>
      </c>
      <c r="G17" s="225">
        <f t="shared" si="0"/>
        <v>0</v>
      </c>
      <c r="H17" s="225">
        <f t="shared" si="0"/>
        <v>0</v>
      </c>
      <c r="I17" s="225">
        <f t="shared" si="0"/>
        <v>0</v>
      </c>
    </row>
    <row r="18" spans="2:11" s="103" customFormat="1" ht="15.75">
      <c r="B18" s="9" t="s">
        <v>102</v>
      </c>
      <c r="D18" s="225">
        <f>IF(AND(D14&lt;=YEAR(E7+G7*F7),YEAR(E7)&lt;=D14),IF(YEAR(E7)=D14,ROUND((12-MONTH(E7))*30/G7,0),IF(D14=YEAR(E7+G7*F7),ROUND((MONTH(E7+F7*G7)+0.5)*30/G7,0),360/G7)),0)*D7/F7+IF(AND(D14&lt;=YEAR(E8+G8*F8),YEAR(E8)&lt;=D14),IF(YEAR(E8)=D14,ROUND((12-MONTH(E8))*30/G8,0),IF(D14=YEAR(E8+G8*F8),ROUND((MONTH(E8+F8*G8)+0.5)*30/G8,0),360/G8)),0)*D8/F8+IF(AND(D14&lt;=YEAR(E9+G9*F9),YEAR(E9)&lt;=D14),IF(YEAR(E9)=D14,ROUND((12-MONTH(E9))*30/G9,0),IF(D14=YEAR(E9+G9*F9),ROUND((MONTH(E9+F9*G9)+0.5)*30/G9,0),360/G9)),0)*D9/F9+IF(AND(D14&lt;=YEAR(E10+G10*F10),YEAR(E10)&lt;=D14),IF(YEAR(E10)=D14,ROUND((12-MONTH(E10))*30/G10,0),IF(D14=YEAR(E10+G10*F10),ROUND((MONTH(E10+F10*G10)+0.5)*30/G10,0),360/G10)),0)*D10/F10</f>
        <v>83333.333333333328</v>
      </c>
      <c r="E18" s="225">
        <f>IF(AND(E14&lt;=YEAR(E7+G7*F7),YEAR(E7)&lt;=E14),IF(YEAR(E7)=E14,ROUND((12-MONTH(E7))*30/G7,0),IF(E14=YEAR(E7+G7*F7),ROUND((MONTH(E7+F7*G7)+0.5)*30/G7,0),360/G7)),0)*D7/F7+IF(AND(E14&lt;=YEAR(E8+G8*F8),YEAR(E8)&lt;=E14),IF(YEAR(E8)=E14,ROUND((12-MONTH(E8))*30/G8,0),IF(E14=YEAR(E8+G8*F8),ROUND((MONTH(E8+F8*G8)+0.5)*30/G8,0),360/G8)),0)*D8/F8+IF(AND(E14&lt;=YEAR(E9+G9*F9),YEAR(E9)&lt;=E14),IF(YEAR(E9)=E14,ROUND((12-MONTH(E9))*30/G9,0),IF(E14=YEAR(E9+G9*F9),ROUND((MONTH(E9+F9*G9)+0.5)*30/G9,0),360/G9)),0)*D9/F9+IF(AND(E14&lt;=YEAR(E10+G10*F10),YEAR(E10)&lt;=E14),IF(YEAR(E10)=E14,ROUND((12-MONTH(E10))*30/G10,0),IF(E14=YEAR(E10+G10*F10),ROUND((MONTH(E10+F10*G10)+0.5)*30/G10,0),360/G10)),0)*D10/F10</f>
        <v>83333.333333333328</v>
      </c>
      <c r="F18" s="225">
        <f>IF(AND(F14&lt;=YEAR(E7+G7*F7),YEAR(E7)&lt;=F14),IF(YEAR(E7)=F14,ROUND((12-MONTH(E7))*30/G7,0),IF(F14=YEAR(E7+G7*F7),ROUND((MONTH(E7+F7*G7)+0.5)*30/G7,0),360/G7)),0)*D7/F7+IF(AND(F14&lt;=YEAR(E8+G8*F8),YEAR(E8)&lt;=F14),IF(YEAR(E8)=F14,ROUND((12-MONTH(E8))*30/G8,0),IF(F14=YEAR(E8+G8*F8),ROUND((MONTH(E8+F8*G8)+0.5)*30/G8,0),360/G8)),0)*D8/F8+IF(AND(F14&lt;=YEAR(E9+G9*F9),YEAR(E9)&lt;=F14),IF(YEAR(E9)=F14,ROUND((12-MONTH(E9))*30/G9,0),IF(F14=YEAR(E9+G9*F9),ROUND((MONTH(E9+F9*G9)+0.5)*30/G9,0),360/G9)),0)*D9/F9+IF(AND(F14&lt;=YEAR(E10+G10*F10),YEAR(E10)&lt;=F14),IF(YEAR(E10)=F14,ROUND((12-MONTH(E10))*30/G10,0),IF(F14=YEAR(E10+G10*F10),ROUND((MONTH(E10+F10*G10)+0.5)*30/G10,0),360/G10)),0)*D10/F10</f>
        <v>83333.333333333328</v>
      </c>
      <c r="G18" s="225">
        <f>IF(AND(G14&lt;=YEAR(E7+G7*F7),YEAR(E7)&lt;=G14),IF(YEAR(E7)=G14,ROUND((12-MONTH(E7))*30/G7,0),IF(G14=YEAR(E7+G7*F7),ROUND((MONTH(E7+F7*G7)+0.5)*30/G7,0),360/G7)),0)*D7/F7+IF(AND(G14&lt;=YEAR(E8+G8*F8),YEAR(E8)&lt;=G14),IF(YEAR(E8)=G14,ROUND((12-MONTH(E8))*30/G8,0),IF(G14=YEAR(E8+G8*F8),ROUND((MONTH(E8+F8*G8)+0.5)*30/G8,0),360/G8)),0)*D8/F8+IF(AND(G14&lt;=YEAR(E9+G9*F9),YEAR(E9)&lt;=G14),IF(YEAR(E9)=G14,ROUND((12-MONTH(E9))*30/G9,0),IF(G14=YEAR(E9+G9*F9),ROUND((MONTH(E9+F9*G9)+0.5)*30/G9,0),360/G9)),0)*D9/F9+IF(AND(G14&lt;=YEAR(E10+G10*F10),YEAR(E10)&lt;=G14),IF(YEAR(E10)=G14,ROUND((12-MONTH(E10))*30/G10,0),IF(G14=YEAR(E10+G10*F10),ROUND((MONTH(E10+F10*G10)+0.5)*30/G10,0),360/G10)),0)*D10/F10</f>
        <v>83333.333333333328</v>
      </c>
      <c r="H18" s="225">
        <f>IF(AND(H14&lt;=YEAR(E7+G7*F7),YEAR(E7)&lt;=H14),IF(YEAR(E7)=H14,ROUND((12-MONTH(E7))*30/G7,0),IF(H14=YEAR(E7+G7*F7),ROUND((MONTH(E7+F7*G7)+0.5)*30/G7,0),360/G7)),0)*D7/F7+IF(AND(H14&lt;=YEAR(E8+G8*F8),YEAR(E8)&lt;=H14),IF(YEAR(E8)=H14,ROUND((12-MONTH(E8))*30/G8,0),IF(H14=YEAR(E8+G8*F8),ROUND((MONTH(E8+F8*G8)+0.5)*30/G8,0),360/G8)),0)*D8/F8+IF(AND(H14&lt;=YEAR(E9+G9*F9),YEAR(E9)&lt;=H14),IF(YEAR(E9)=H14,ROUND((12-MONTH(E9))*30/G9,0),IF(H14=YEAR(E9+G9*F9),ROUND((MONTH(E9+F9*G9)+0.5)*30/G9,0),360/G9)),0)*D9/F9+IF(AND(H14&lt;=YEAR(E10+G10*F10),YEAR(E10)&lt;=H14),IF(YEAR(E10)=H14,ROUND((12-MONTH(E10))*30/G10,0),IF(H14=YEAR(E10+G10*F10),ROUND((MONTH(E10+F10*G10)+0.5)*30/G10,0),360/G10)),0)*D10/F10</f>
        <v>83333.333333333328</v>
      </c>
      <c r="I18" s="225">
        <f>H18</f>
        <v>83333.333333333328</v>
      </c>
      <c r="K18"/>
    </row>
    <row r="19" spans="2:11" s="103" customFormat="1" ht="15.75">
      <c r="B19" s="9" t="s">
        <v>27</v>
      </c>
      <c r="D19" s="225">
        <f t="shared" ref="D19:I19" si="1">D16+D17-D18</f>
        <v>416666.66666666669</v>
      </c>
      <c r="E19" s="225">
        <f t="shared" si="1"/>
        <v>333333.33333333337</v>
      </c>
      <c r="F19" s="225">
        <f t="shared" si="1"/>
        <v>250000.00000000006</v>
      </c>
      <c r="G19" s="225">
        <f t="shared" si="1"/>
        <v>166666.66666666674</v>
      </c>
      <c r="H19" s="225">
        <f t="shared" si="1"/>
        <v>83333.333333333416</v>
      </c>
      <c r="I19" s="225">
        <f t="shared" si="1"/>
        <v>0</v>
      </c>
      <c r="K19" s="161"/>
    </row>
    <row r="20" spans="2:11" s="103" customFormat="1" ht="15.75">
      <c r="B20" s="9" t="s">
        <v>103</v>
      </c>
      <c r="D20" s="225">
        <f>(((IF(AND(D14&lt;=YEAR(E7+G7*F7),YEAR(E7)&lt;=D14),D7*H7,0)+IF(AND(D14&lt;=YEAR(E8+G8*F8),YEAR(E8)&lt;=D14),D8*H8,0)+IF(AND(D14&lt;=YEAR(E9+G9*F9),YEAR(E9)&lt;=D14),D9*H9,0)+IF(AND(D14&lt;=YEAR(E10+G10*F10),YEAR(E10)&lt;=D14),D10*H10,0))/(IF(AND(D14&lt;=YEAR(E7+G7*F7),YEAR(E7)&lt;=D14),D7,0)+IF(AND(D14&lt;=YEAR(E8+G8*F8),YEAR(E8)&lt;=D14),D8,0)+IF(AND(D14&lt;=YEAR(E9+G9*F9),YEAR(E9)&lt;=D14),D9,0)+IF(AND(D14&lt;=YEAR(E10+G10*F10),YEAR(E10)&lt;=D14),D10,0)))*((D16+D19)/2))</f>
        <v>4166.666666666667</v>
      </c>
      <c r="E20" s="225">
        <f>((IF(AND(E14&lt;=YEAR(E7+G7*F7),YEAR(E7)&lt;=E14),D7*H7,0)+IF(AND(E14&lt;=YEAR(E8+G8*F8),YEAR(E8)&lt;=E14),D8*H8,0)+IF(AND(E14&lt;=YEAR(E9+G9*F9),YEAR(E9)&lt;=E14),D9*H9,0)+IF(AND(E14&lt;=YEAR(E10+G10*F10),YEAR(E10)&lt;=E14),D10*H10,0))/(IF(AND(E14&lt;=YEAR(E7+G7*F7),YEAR(E7)&lt;=E14),D7,0)+IF(AND(E14&lt;=YEAR(E8+G8*F8),YEAR(E8)&lt;=E14),D8,0)+IF(AND(E14&lt;=YEAR(E9+G9*F9),YEAR(E9)&lt;=E14),D9,0)+IF(AND(E14&lt;=YEAR(E10+G10*F10),YEAR(E10)&lt;=E14),D10,0)))*((E16+E19)/2)</f>
        <v>7500</v>
      </c>
      <c r="F20" s="225">
        <f>((IF(AND(F14&lt;=YEAR(E7+G7*F7),YEAR(E7)&lt;=F14),D7*H7,0)+IF(AND(F14&lt;=YEAR(E8+G8*F8),YEAR(E8)&lt;=F14),D8*H8,0)+IF(AND(F14&lt;=YEAR(E9+G9*F9),YEAR(E9)&lt;=F14),D9*H9,0)+IF(AND(F14&lt;=YEAR(E10+G10*F10),YEAR(E10)&lt;=F14),D10*H10,0))/(IF(AND(F14&lt;=YEAR(E7+G7*F7),YEAR(E7)&lt;=F14),D7,0)+IF(AND(F14&lt;=YEAR(E8+G8*F8),YEAR(E8)&lt;=F14),D8,0)+IF(AND(F14&lt;=YEAR(E9+G9*F9),YEAR(E9)&lt;=F14),D9,0)+IF(AND(F14&lt;=YEAR(E10+G10*F10),YEAR(E10)&lt;=F14),D10,0)))*((F16+F19)/2)</f>
        <v>5833.3333333333348</v>
      </c>
      <c r="G20" s="225">
        <f>((IF(AND(G14&lt;=YEAR(E7+G7*F7),YEAR(E7)&lt;=G14),D7*H7,0)+IF(AND(G14&lt;=YEAR(E8+G8*F8),YEAR(E8)&lt;=G14),D8*H8,0)+IF(AND(G14&lt;=YEAR(E9+G9*F9),YEAR(E9)&lt;=G14),D9*H9,0)+IF(AND(G14&lt;=YEAR(E10+G10*F10),YEAR(E10)&lt;=G14),D10*H10,0))/(IF(AND(G14&lt;=YEAR(E7+G7*F7),YEAR(E7)&lt;=G14),D7,0)+IF(AND(G14&lt;=YEAR(E8+G8*F8),YEAR(E8)&lt;=G14),D8,0)+IF(AND(G14&lt;=YEAR(E9+G9*F9),YEAR(E9)&lt;=G14),D9,0)+IF(AND(G14&lt;=YEAR(E10+G10*F10),YEAR(E10)&lt;=G14),D10,0)))*((G16+G19)/2)</f>
        <v>4166.6666666666679</v>
      </c>
      <c r="H20" s="225">
        <f>((IF(AND(H14&lt;=YEAR(E7+G7*F7),YEAR(E7)&lt;=H14),D7*H7,0)+IF(AND(H14&lt;=YEAR(E8+G8*F8),YEAR(E8)&lt;=H14),D8*H8,0)+IF(AND(H14&lt;=YEAR(E9+G9*F9),YEAR(E9)&lt;=H14),D9*H9,0)+IF(AND(H14&lt;=YEAR(E10+G10*F10),YEAR(E10)&lt;=H14),D10*H10,0))/(IF(AND(H14&lt;=YEAR(E7+G7*F7),YEAR(E7)&lt;=H14),D7,0)+IF(AND(H14&lt;=YEAR(E8+G8*F8),YEAR(E8)&lt;=H14),D8,0)+IF(AND(H14&lt;=YEAR(E9+G9*F9),YEAR(E9)&lt;=H14),D9,0)+IF(AND(H14&lt;=YEAR(E10+G10*F10),YEAR(E10)&lt;=H14),D10,0)))*((H16+H19)/2)</f>
        <v>2500.0000000000018</v>
      </c>
      <c r="I20" s="225">
        <f>((IF(AND(I14&lt;=YEAR(E7+G7*F7),YEAR(E7)&lt;=I14),D7*H7,0)+IF(AND(I14&lt;=YEAR(E8+G8*F8),YEAR(E8)&lt;=I14),D8*H8,0)+IF(AND(I14&lt;=YEAR(E9+G9*F9),YEAR(E9)&lt;=I14),D9*H9,0)+IF(AND(I14&lt;=YEAR(E10+G10*F10),YEAR(E10)&lt;=I14),D10*H10,0))/(IF(AND(I14&lt;=YEAR(E7+G7*F7),YEAR(E7)&lt;=I14),D7,0)+IF(AND(I14&lt;=YEAR(E8+G8*F8),YEAR(E8)&lt;=I14),D8,0)+IF(AND(I14&lt;=YEAR(E9+G9*F9),YEAR(E9)&lt;=I14),D9,0)+IF(AND(I14&lt;=YEAR(E10+G10*F10),YEAR(E10)&lt;=I14),D10,0)))*((I16+I19)/2)</f>
        <v>833.33333333333417</v>
      </c>
      <c r="J20" s="104"/>
      <c r="K20" s="104"/>
    </row>
    <row r="21" spans="2:11" s="103" customFormat="1" ht="15.75">
      <c r="B21" s="9" t="s">
        <v>104</v>
      </c>
      <c r="D21" s="164"/>
      <c r="E21" s="164"/>
      <c r="F21" s="164"/>
      <c r="G21" s="164"/>
      <c r="H21" s="164"/>
      <c r="I21" s="164"/>
      <c r="K21" s="142"/>
    </row>
    <row r="22" spans="2:11" s="103" customFormat="1" ht="15.75">
      <c r="B22" s="168" t="s">
        <v>105</v>
      </c>
      <c r="C22"/>
      <c r="K22" s="142"/>
    </row>
    <row r="23" spans="2:11" s="103" customFormat="1" ht="15"/>
    <row r="24" spans="2:11" s="103" customFormat="1" ht="15.75">
      <c r="D24" s="256">
        <f t="array" ref="D24:H24">D14:H14</f>
        <v>2009</v>
      </c>
      <c r="E24" s="256">
        <v>2010</v>
      </c>
      <c r="F24" s="256">
        <v>2011</v>
      </c>
      <c r="G24" s="256">
        <v>2012</v>
      </c>
      <c r="H24" s="256">
        <v>2013</v>
      </c>
      <c r="I24" s="256">
        <f t="array" ref="I24">I14:M14</f>
        <v>2014</v>
      </c>
    </row>
    <row r="25" spans="2:11" s="103" customFormat="1" ht="15.75">
      <c r="B25" s="9" t="s">
        <v>25</v>
      </c>
      <c r="D25" s="167"/>
      <c r="E25" s="163">
        <f>+D28</f>
        <v>0</v>
      </c>
      <c r="F25" s="163">
        <f>+E28</f>
        <v>0</v>
      </c>
      <c r="G25" s="163">
        <f>+F28</f>
        <v>0</v>
      </c>
      <c r="H25" s="103">
        <f>+G28</f>
        <v>0</v>
      </c>
      <c r="I25" s="103">
        <f>+H28</f>
        <v>0</v>
      </c>
    </row>
    <row r="26" spans="2:11" s="103" customFormat="1" ht="15.75">
      <c r="B26" s="9" t="s">
        <v>101</v>
      </c>
      <c r="D26" s="167"/>
      <c r="E26" s="167"/>
      <c r="F26" s="167"/>
      <c r="G26" s="167"/>
      <c r="H26" s="143"/>
      <c r="I26" s="143"/>
    </row>
    <row r="27" spans="2:11" s="103" customFormat="1" ht="15.75">
      <c r="B27" s="9" t="s">
        <v>102</v>
      </c>
      <c r="D27" s="167"/>
      <c r="E27" s="167"/>
      <c r="F27" s="167"/>
      <c r="G27" s="167"/>
      <c r="H27" s="143"/>
      <c r="I27" s="143"/>
    </row>
    <row r="28" spans="2:11" s="103" customFormat="1" ht="15.75">
      <c r="B28" s="9" t="s">
        <v>27</v>
      </c>
      <c r="D28" s="163">
        <f t="shared" ref="D28:I28" si="2">+D25+D26-D27</f>
        <v>0</v>
      </c>
      <c r="E28" s="163">
        <f t="shared" si="2"/>
        <v>0</v>
      </c>
      <c r="F28" s="163">
        <f t="shared" si="2"/>
        <v>0</v>
      </c>
      <c r="G28" s="163">
        <f t="shared" si="2"/>
        <v>0</v>
      </c>
      <c r="H28" s="103">
        <f t="shared" si="2"/>
        <v>0</v>
      </c>
      <c r="I28" s="103">
        <f t="shared" si="2"/>
        <v>0</v>
      </c>
    </row>
    <row r="29" spans="2:11" s="103" customFormat="1" ht="15.75">
      <c r="B29" s="9" t="s">
        <v>103</v>
      </c>
      <c r="D29" s="163">
        <f t="shared" ref="D29:I29" si="3">+$H$11*(D25+D28)/2</f>
        <v>0</v>
      </c>
      <c r="E29" s="163">
        <f t="shared" si="3"/>
        <v>0</v>
      </c>
      <c r="F29" s="163">
        <f t="shared" si="3"/>
        <v>0</v>
      </c>
      <c r="G29" s="163">
        <f t="shared" si="3"/>
        <v>0</v>
      </c>
      <c r="H29" s="103">
        <f t="shared" si="3"/>
        <v>0</v>
      </c>
      <c r="I29" s="103">
        <f t="shared" si="3"/>
        <v>0</v>
      </c>
    </row>
    <row r="31" spans="2:11" s="9" customFormat="1" ht="15.75">
      <c r="B31" s="38" t="str">
        <f>"1. "&amp;IF(toggle_1="Yes",footnote_1,"")</f>
        <v>1. Source of data: Sample Company</v>
      </c>
      <c r="C31" s="38"/>
      <c r="D31" s="38"/>
      <c r="E31" s="38"/>
      <c r="F31" s="38"/>
      <c r="G31" s="38"/>
      <c r="H31" s="38"/>
      <c r="I31" s="38"/>
    </row>
    <row r="32" spans="2:11" s="9" customFormat="1" ht="16.5" thickBot="1">
      <c r="B32" s="70" t="str">
        <f>"2. "&amp;IF(toggle_2="Yes",footnote_2,"")</f>
        <v>2. Some totals may not add due to rounding.  See Statement of Limiting Conditions.</v>
      </c>
      <c r="C32" s="70"/>
      <c r="D32" s="70"/>
      <c r="E32" s="70"/>
      <c r="F32" s="70"/>
      <c r="G32" s="70"/>
      <c r="H32" s="70"/>
      <c r="I32" s="70"/>
      <c r="J32"/>
      <c r="K32"/>
    </row>
    <row r="33" spans="2:11" s="9" customFormat="1" ht="23.25">
      <c r="B33" s="71" t="str">
        <f>IF(toggle_3="Yes",footnote_3,"")</f>
        <v>Draft and preliminary.</v>
      </c>
      <c r="C33" s="38"/>
      <c r="D33" s="38"/>
      <c r="E33" s="38"/>
      <c r="F33" s="38"/>
      <c r="G33"/>
      <c r="H33" s="72"/>
      <c r="I33" s="72"/>
      <c r="J33"/>
      <c r="K33"/>
    </row>
    <row r="34" spans="2:11" s="9" customFormat="1" ht="23.25">
      <c r="B34" s="71" t="str">
        <f>IF(toggle_4="Yes",footnote_4,"")</f>
        <v>All data subject to change upon completion of additional analysis.</v>
      </c>
      <c r="C34" s="38"/>
      <c r="D34" s="38"/>
      <c r="E34" s="38"/>
      <c r="F34" s="38"/>
      <c r="G34"/>
      <c r="H34" s="73" t="str">
        <f>IF(toggle_5="Yes",copyright,"")</f>
        <v>© 2009 by p2w2.  All rights reserved.</v>
      </c>
      <c r="I34" s="73"/>
      <c r="J34"/>
      <c r="K34"/>
    </row>
  </sheetData>
  <pageMargins left="0.75" right="0.75" top="1" bottom="1" header="0.5" footer="0.5"/>
  <pageSetup paperSize="9" scale="76" fitToWidth="5" orientation="landscape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S143"/>
  <sheetViews>
    <sheetView workbookViewId="0"/>
  </sheetViews>
  <sheetFormatPr defaultRowHeight="12.75"/>
  <cols>
    <col min="1" max="1" width="20.7109375" style="307" customWidth="1"/>
    <col min="2" max="2" width="50.140625" style="307" bestFit="1" customWidth="1"/>
    <col min="3" max="3" width="15.7109375" style="307" bestFit="1" customWidth="1"/>
    <col min="4" max="5" width="12.28515625" style="307" bestFit="1" customWidth="1"/>
    <col min="6" max="6" width="11.85546875" style="307" bestFit="1" customWidth="1"/>
    <col min="7" max="7" width="12.7109375" style="307" bestFit="1" customWidth="1"/>
    <col min="8" max="8" width="13.42578125" style="307" bestFit="1" customWidth="1"/>
    <col min="9" max="9" width="9" style="307" bestFit="1" customWidth="1"/>
    <col min="10" max="10" width="5.7109375" style="307" bestFit="1" customWidth="1"/>
    <col min="11" max="11" width="8.5703125" style="307" bestFit="1" customWidth="1"/>
    <col min="12" max="12" width="7.7109375" style="307" bestFit="1" customWidth="1"/>
    <col min="13" max="13" width="9.5703125" style="307" bestFit="1" customWidth="1"/>
    <col min="14" max="14" width="8.5703125" style="307" bestFit="1" customWidth="1"/>
    <col min="15" max="16" width="7.7109375" style="307" bestFit="1" customWidth="1"/>
    <col min="18" max="19" width="7.140625" style="307" bestFit="1" customWidth="1"/>
    <col min="20" max="16384" width="9.140625" style="307"/>
  </cols>
  <sheetData>
    <row r="1" spans="1:9" s="9" customFormat="1" ht="42" customHeight="1" thickBot="1">
      <c r="B1" s="67" t="str">
        <f>co_name</f>
        <v>Sample Company</v>
      </c>
      <c r="C1" s="67"/>
      <c r="D1" s="67"/>
      <c r="E1" s="67"/>
      <c r="F1" s="67"/>
      <c r="G1" s="67"/>
      <c r="H1" s="86" t="str">
        <f>"Exhibit "&amp;_exh15</f>
        <v>Exhibit 15</v>
      </c>
    </row>
    <row r="2" spans="1:9" s="9" customFormat="1" ht="18.75">
      <c r="A2" s="9" t="s">
        <v>414</v>
      </c>
      <c r="B2" s="66" t="str">
        <f>proj_name</f>
        <v>Marine Operations Services</v>
      </c>
      <c r="G2"/>
      <c r="H2" s="68">
        <f ca="1">IF(date_toggle=1,run_date,"")</f>
        <v>39918</v>
      </c>
    </row>
    <row r="3" spans="1:9" s="9" customFormat="1" ht="18.75">
      <c r="A3" s="65"/>
      <c r="B3" s="65" t="s">
        <v>191</v>
      </c>
      <c r="G3"/>
      <c r="H3" s="69">
        <f ca="1">IF(time_toggle=1,run_time,"")</f>
        <v>39918.566740393515</v>
      </c>
    </row>
    <row r="4" spans="1:9" s="9" customFormat="1" ht="18.75">
      <c r="A4" s="65"/>
      <c r="F4"/>
      <c r="H4" s="69"/>
    </row>
    <row r="5" spans="1:9" s="9" customFormat="1" ht="15.75">
      <c r="A5" s="65"/>
      <c r="B5" s="273" t="s">
        <v>454</v>
      </c>
      <c r="C5" s="273">
        <v>5</v>
      </c>
    </row>
    <row r="6" spans="1:9" s="9" customFormat="1" ht="15.75">
      <c r="A6" s="65"/>
      <c r="B6" s="273" t="s">
        <v>324</v>
      </c>
      <c r="C6" s="273">
        <f>Assumptions!D93</f>
        <v>4</v>
      </c>
    </row>
    <row r="7" spans="1:9" s="9" customFormat="1" ht="15.75">
      <c r="A7" s="65"/>
      <c r="B7" s="273" t="s">
        <v>325</v>
      </c>
      <c r="C7" s="273">
        <f>Assumptions!D94</f>
        <v>3</v>
      </c>
    </row>
    <row r="8" spans="1:9" s="9" customFormat="1" ht="15.75">
      <c r="A8" s="65"/>
      <c r="B8" s="273" t="s">
        <v>327</v>
      </c>
      <c r="C8" s="273">
        <f>Assumptions!D95</f>
        <v>5</v>
      </c>
    </row>
    <row r="9" spans="1:9" ht="15.75">
      <c r="B9" s="273" t="s">
        <v>476</v>
      </c>
      <c r="C9" s="9"/>
      <c r="D9" s="440">
        <f>('Services Details'!D9+'Services Details'!D66)/360</f>
        <v>6.5980570652173913</v>
      </c>
      <c r="E9" s="440">
        <f>('Services Details'!E9+'Services Details'!E66)/360</f>
        <v>25.222956989247308</v>
      </c>
      <c r="F9" s="440">
        <f>('Services Details'!F9+'Services Details'!F66)/360</f>
        <v>25.332548449612407</v>
      </c>
      <c r="G9" s="440">
        <f>('Services Details'!G9+'Services Details'!G66)/360</f>
        <v>51.08958333333333</v>
      </c>
      <c r="H9" s="440">
        <f>('Services Details'!H9+'Services Details'!H66)/360</f>
        <v>64.045330459770113</v>
      </c>
      <c r="I9" s="9"/>
    </row>
    <row r="10" spans="1:9" ht="15.75">
      <c r="B10" s="273" t="s">
        <v>477</v>
      </c>
      <c r="C10" s="9"/>
      <c r="D10" s="440">
        <f>('Services Details'!D9)/360</f>
        <v>5.0813903985507247</v>
      </c>
      <c r="E10" s="440">
        <f>('Services Details'!E9)/360</f>
        <v>17.422956989247307</v>
      </c>
      <c r="F10" s="440">
        <f>('Services Details'!F9)/360</f>
        <v>14.499215116279073</v>
      </c>
      <c r="G10" s="440">
        <f>('Services Details'!G9)/360</f>
        <v>25.089583333333334</v>
      </c>
      <c r="H10" s="440">
        <f>('Services Details'!H9)/360</f>
        <v>27.211997126436785</v>
      </c>
      <c r="I10" s="9"/>
    </row>
    <row r="11" spans="1:9" ht="15.75">
      <c r="B11" s="273" t="s">
        <v>429</v>
      </c>
      <c r="C11" s="9"/>
      <c r="D11" s="440">
        <f>('Services Details'!D66)/360</f>
        <v>1.5166666666666666</v>
      </c>
      <c r="E11" s="440">
        <f>('Services Details'!E66)/360</f>
        <v>7.8</v>
      </c>
      <c r="F11" s="440">
        <f>('Services Details'!F66)/360</f>
        <v>10.833333333333334</v>
      </c>
      <c r="G11" s="440">
        <f>('Services Details'!G66)/360</f>
        <v>26</v>
      </c>
      <c r="H11" s="440">
        <f>('Services Details'!H66)/360</f>
        <v>36.833333333333336</v>
      </c>
      <c r="I11" s="9"/>
    </row>
    <row r="12" spans="1:9" ht="15.75">
      <c r="B12" s="273"/>
      <c r="C12" s="9"/>
      <c r="D12" s="343"/>
      <c r="E12" s="343"/>
      <c r="F12" s="343"/>
      <c r="G12" s="343"/>
      <c r="H12" s="343"/>
      <c r="I12" s="9"/>
    </row>
    <row r="13" spans="1:9">
      <c r="B13" s="342" t="s">
        <v>455</v>
      </c>
      <c r="C13" s="360">
        <v>5</v>
      </c>
      <c r="D13" s="342"/>
      <c r="E13" s="342"/>
      <c r="F13" s="342"/>
      <c r="G13" s="342"/>
      <c r="H13" s="342"/>
    </row>
    <row r="14" spans="1:9">
      <c r="B14" s="342"/>
      <c r="D14" s="342"/>
      <c r="E14" s="342"/>
      <c r="F14" s="342"/>
      <c r="G14" s="342"/>
      <c r="H14" s="342"/>
    </row>
    <row r="16" spans="1:9">
      <c r="D16" s="308">
        <f>first_year</f>
        <v>2009</v>
      </c>
      <c r="E16" s="308">
        <f>D16+1</f>
        <v>2010</v>
      </c>
      <c r="F16" s="308">
        <f>E16+1</f>
        <v>2011</v>
      </c>
      <c r="G16" s="308">
        <f>F16+1</f>
        <v>2012</v>
      </c>
      <c r="H16" s="308">
        <f>G16+1</f>
        <v>2013</v>
      </c>
    </row>
    <row r="17" spans="2:8">
      <c r="B17" s="320" t="s">
        <v>389</v>
      </c>
      <c r="D17" s="319"/>
      <c r="E17" s="319"/>
      <c r="F17" s="319"/>
      <c r="G17" s="319"/>
      <c r="H17" s="319"/>
    </row>
    <row r="18" spans="2:8">
      <c r="B18" s="321" t="s">
        <v>490</v>
      </c>
      <c r="D18" s="329">
        <f>ROUNDUP(D$9*$C$7/$C$6,0)</f>
        <v>5</v>
      </c>
      <c r="E18" s="329">
        <f>ROUNDUP(E$9*$C$7/$C$6,0)</f>
        <v>19</v>
      </c>
      <c r="F18" s="329">
        <f>ROUNDUP(F$9*$C$7/$C$6,0)</f>
        <v>19</v>
      </c>
      <c r="G18" s="329">
        <f>ROUNDUP(G$9*$C$7/$C$6,0)</f>
        <v>39</v>
      </c>
      <c r="H18" s="329">
        <f>ROUNDUP(H$9*$C$7/$C$6,0)</f>
        <v>49</v>
      </c>
    </row>
    <row r="19" spans="2:8">
      <c r="B19" s="321" t="s">
        <v>491</v>
      </c>
      <c r="D19" s="329">
        <f>ROUNDDOWN(D18/$C$8,0)</f>
        <v>1</v>
      </c>
      <c r="E19" s="329">
        <f>ROUNDDOWN(E18/$C$8,0)</f>
        <v>3</v>
      </c>
      <c r="F19" s="329">
        <f>ROUNDDOWN(F18/$C$8,0)</f>
        <v>3</v>
      </c>
      <c r="G19" s="329">
        <f>ROUNDDOWN(G18/$C$8,0)</f>
        <v>7</v>
      </c>
      <c r="H19" s="329">
        <f>ROUNDDOWN(H18/$C$8,0)</f>
        <v>9</v>
      </c>
    </row>
    <row r="20" spans="2:8">
      <c r="B20" s="321" t="s">
        <v>430</v>
      </c>
      <c r="D20" s="330">
        <f>ROUNDUP(Assumptions!D85,0)</f>
        <v>5</v>
      </c>
      <c r="E20" s="330">
        <f>ROUNDUP(Assumptions!E85,0)</f>
        <v>10</v>
      </c>
      <c r="F20" s="330">
        <f>ROUNDUP(Assumptions!F85,0)</f>
        <v>9</v>
      </c>
      <c r="G20" s="330">
        <f>ROUNDUP(Assumptions!G85,0)</f>
        <v>16</v>
      </c>
      <c r="H20" s="330">
        <f>ROUNDUP(Assumptions!H85,0)</f>
        <v>21</v>
      </c>
    </row>
    <row r="21" spans="2:8">
      <c r="B21" s="321" t="s">
        <v>431</v>
      </c>
      <c r="D21" s="329">
        <f>ROUND(D20/$C$8,0)</f>
        <v>1</v>
      </c>
      <c r="E21" s="329">
        <f>ROUND(E20/$C$8,0)</f>
        <v>2</v>
      </c>
      <c r="F21" s="329">
        <f>ROUND(F20/$C$8,0)</f>
        <v>2</v>
      </c>
      <c r="G21" s="329">
        <f>ROUND(G20/$C$8,0)</f>
        <v>3</v>
      </c>
      <c r="H21" s="329">
        <f>ROUND(H20/$C$8,0)</f>
        <v>4</v>
      </c>
    </row>
    <row r="22" spans="2:8">
      <c r="B22" s="321" t="s">
        <v>288</v>
      </c>
      <c r="C22" s="345">
        <v>1</v>
      </c>
      <c r="D22" s="329">
        <f>Assumptions!D$92*$C$22</f>
        <v>5</v>
      </c>
      <c r="E22" s="329">
        <f>Assumptions!E$92*$C$22</f>
        <v>10</v>
      </c>
      <c r="F22" s="329">
        <f>Assumptions!F$92*$C$22</f>
        <v>15</v>
      </c>
      <c r="G22" s="329">
        <f>Assumptions!G$92*$C$22</f>
        <v>30</v>
      </c>
      <c r="H22" s="329">
        <f>Assumptions!H$92*$C$22</f>
        <v>40</v>
      </c>
    </row>
    <row r="23" spans="2:8">
      <c r="B23" s="321" t="s">
        <v>273</v>
      </c>
      <c r="C23" s="345">
        <v>1</v>
      </c>
      <c r="D23" s="329">
        <f>Assumptions!D$92*$C$23</f>
        <v>5</v>
      </c>
      <c r="E23" s="329">
        <f>Assumptions!E$92*$C$23</f>
        <v>10</v>
      </c>
      <c r="F23" s="329">
        <f>Assumptions!F$92*$C$23</f>
        <v>15</v>
      </c>
      <c r="G23" s="329">
        <f>Assumptions!G$92*$C$23</f>
        <v>30</v>
      </c>
      <c r="H23" s="329">
        <f>Assumptions!H$92*$C$23</f>
        <v>40</v>
      </c>
    </row>
    <row r="24" spans="2:8">
      <c r="B24" s="321"/>
      <c r="D24" s="331">
        <f>SUM(D18:D23)</f>
        <v>22</v>
      </c>
      <c r="E24" s="332">
        <f>SUM(E18:E23)</f>
        <v>54</v>
      </c>
      <c r="F24" s="332">
        <f>SUM(F18:F23)</f>
        <v>63</v>
      </c>
      <c r="G24" s="332">
        <f>SUM(G18:G23)</f>
        <v>125</v>
      </c>
      <c r="H24" s="333">
        <f>SUM(H18:H23)</f>
        <v>163</v>
      </c>
    </row>
    <row r="25" spans="2:8">
      <c r="B25" s="320" t="s">
        <v>456</v>
      </c>
      <c r="D25" s="335"/>
      <c r="E25" s="335"/>
      <c r="F25" s="335"/>
      <c r="G25" s="335"/>
      <c r="H25" s="335"/>
    </row>
    <row r="26" spans="2:8">
      <c r="B26" s="321" t="s">
        <v>430</v>
      </c>
      <c r="D26" s="329">
        <v>0</v>
      </c>
      <c r="E26" s="329">
        <v>0</v>
      </c>
      <c r="F26" s="329">
        <v>2</v>
      </c>
      <c r="G26" s="329">
        <v>2</v>
      </c>
      <c r="H26" s="329">
        <v>2</v>
      </c>
    </row>
    <row r="27" spans="2:8">
      <c r="B27" s="321"/>
      <c r="D27" s="331">
        <f>SUM(D26:D26)</f>
        <v>0</v>
      </c>
      <c r="E27" s="332">
        <f>SUM(E26:E26)</f>
        <v>0</v>
      </c>
      <c r="F27" s="332">
        <f>SUM(F26:F26)</f>
        <v>2</v>
      </c>
      <c r="G27" s="332">
        <f>SUM(G26:G26)</f>
        <v>2</v>
      </c>
      <c r="H27" s="333">
        <f>SUM(H26:H26)</f>
        <v>2</v>
      </c>
    </row>
    <row r="28" spans="2:8">
      <c r="B28" s="321"/>
      <c r="D28" s="335"/>
      <c r="E28" s="335"/>
      <c r="F28" s="335"/>
      <c r="G28" s="335"/>
      <c r="H28" s="335"/>
    </row>
    <row r="29" spans="2:8">
      <c r="B29" s="320" t="s">
        <v>486</v>
      </c>
      <c r="D29" s="335"/>
      <c r="E29" s="335"/>
      <c r="F29" s="335"/>
      <c r="G29" s="335"/>
      <c r="H29" s="335"/>
    </row>
    <row r="30" spans="2:8">
      <c r="B30" s="321" t="s">
        <v>487</v>
      </c>
      <c r="C30" s="359">
        <v>0.2</v>
      </c>
      <c r="D30" s="329">
        <v>2</v>
      </c>
      <c r="E30" s="329">
        <v>3</v>
      </c>
      <c r="F30" s="329">
        <v>3</v>
      </c>
      <c r="G30" s="329">
        <v>3</v>
      </c>
      <c r="H30" s="329">
        <v>3</v>
      </c>
    </row>
    <row r="31" spans="2:8">
      <c r="B31" s="321"/>
      <c r="D31" s="331">
        <f>SUM(D30:D30)</f>
        <v>2</v>
      </c>
      <c r="E31" s="332">
        <f>SUM(E30:E30)</f>
        <v>3</v>
      </c>
      <c r="F31" s="332">
        <f>SUM(F30:F30)</f>
        <v>3</v>
      </c>
      <c r="G31" s="332">
        <f>SUM(G30:G30)</f>
        <v>3</v>
      </c>
      <c r="H31" s="333">
        <f>SUM(H30:H30)</f>
        <v>3</v>
      </c>
    </row>
    <row r="32" spans="2:8">
      <c r="B32" s="321"/>
      <c r="D32" s="335"/>
      <c r="E32" s="335"/>
      <c r="F32" s="335"/>
      <c r="G32" s="335"/>
      <c r="H32" s="335"/>
    </row>
    <row r="33" spans="2:8">
      <c r="B33" s="322" t="s">
        <v>343</v>
      </c>
      <c r="D33" s="329"/>
      <c r="E33" s="329"/>
      <c r="F33" s="329"/>
      <c r="G33" s="329"/>
      <c r="H33" s="329"/>
    </row>
    <row r="34" spans="2:8">
      <c r="B34" s="321" t="s">
        <v>279</v>
      </c>
      <c r="D34" s="334">
        <v>1</v>
      </c>
      <c r="E34" s="334">
        <v>1</v>
      </c>
      <c r="F34" s="334">
        <v>1</v>
      </c>
      <c r="G34" s="334">
        <v>1</v>
      </c>
      <c r="H34" s="334">
        <v>1</v>
      </c>
    </row>
    <row r="35" spans="2:8">
      <c r="B35" s="321" t="s">
        <v>292</v>
      </c>
      <c r="D35" s="334">
        <v>0</v>
      </c>
      <c r="E35" s="334">
        <v>0</v>
      </c>
      <c r="F35" s="334">
        <v>1</v>
      </c>
      <c r="G35" s="334">
        <v>1</v>
      </c>
      <c r="H35" s="334">
        <v>1</v>
      </c>
    </row>
    <row r="36" spans="2:8">
      <c r="B36" s="321" t="s">
        <v>281</v>
      </c>
      <c r="C36" s="361">
        <v>0.25</v>
      </c>
      <c r="D36" s="329">
        <v>0</v>
      </c>
      <c r="E36" s="329">
        <f>ROUNDUP(Assumptions!E$16/$C$13*$C$36,0)</f>
        <v>1</v>
      </c>
      <c r="F36" s="329">
        <f>ROUNDUP(Assumptions!F$16/$C$13*$C$36,0)</f>
        <v>2</v>
      </c>
      <c r="G36" s="329">
        <f>ROUNDUP(Assumptions!G$16/$C$13*$C$36,0)</f>
        <v>3</v>
      </c>
      <c r="H36" s="329">
        <f>ROUNDUP(Assumptions!H$16/$C$13*$C$36,0)</f>
        <v>5</v>
      </c>
    </row>
    <row r="37" spans="2:8">
      <c r="B37" s="321" t="s">
        <v>282</v>
      </c>
      <c r="D37" s="334">
        <v>1</v>
      </c>
      <c r="E37" s="334">
        <v>1</v>
      </c>
      <c r="F37" s="334">
        <v>1</v>
      </c>
      <c r="G37" s="334">
        <v>1</v>
      </c>
      <c r="H37" s="334">
        <v>1</v>
      </c>
    </row>
    <row r="38" spans="2:8">
      <c r="B38" s="321"/>
      <c r="D38" s="331">
        <f>SUM(D34:D37)</f>
        <v>2</v>
      </c>
      <c r="E38" s="332">
        <f>SUM(E34:E37)</f>
        <v>3</v>
      </c>
      <c r="F38" s="332">
        <f>SUM(F34:F37)</f>
        <v>5</v>
      </c>
      <c r="G38" s="332">
        <f>SUM(G34:G37)</f>
        <v>6</v>
      </c>
      <c r="H38" s="333">
        <f>SUM(H34:H37)</f>
        <v>8</v>
      </c>
    </row>
    <row r="39" spans="2:8">
      <c r="B39" s="321"/>
      <c r="D39" s="335"/>
      <c r="E39" s="335"/>
      <c r="F39" s="335"/>
      <c r="G39" s="335"/>
      <c r="H39" s="335"/>
    </row>
    <row r="40" spans="2:8">
      <c r="B40" s="322" t="s">
        <v>344</v>
      </c>
      <c r="D40" s="329"/>
      <c r="E40" s="329"/>
      <c r="F40" s="329"/>
      <c r="G40" s="329"/>
      <c r="H40" s="329"/>
    </row>
    <row r="41" spans="2:8">
      <c r="B41" s="321" t="s">
        <v>276</v>
      </c>
      <c r="D41" s="334">
        <v>1</v>
      </c>
      <c r="E41" s="334">
        <v>1</v>
      </c>
      <c r="F41" s="334">
        <v>1</v>
      </c>
      <c r="G41" s="334">
        <v>1</v>
      </c>
      <c r="H41" s="334">
        <v>1</v>
      </c>
    </row>
    <row r="42" spans="2:8">
      <c r="B42" s="321" t="s">
        <v>277</v>
      </c>
      <c r="D42" s="334">
        <v>0</v>
      </c>
      <c r="E42" s="334">
        <v>0</v>
      </c>
      <c r="F42" s="334">
        <v>1</v>
      </c>
      <c r="G42" s="334">
        <v>1</v>
      </c>
      <c r="H42" s="334">
        <v>1</v>
      </c>
    </row>
    <row r="43" spans="2:8">
      <c r="B43" s="321" t="s">
        <v>492</v>
      </c>
      <c r="D43" s="334">
        <v>1</v>
      </c>
      <c r="E43" s="334">
        <v>1</v>
      </c>
      <c r="F43" s="334">
        <v>1</v>
      </c>
      <c r="G43" s="334">
        <v>1</v>
      </c>
      <c r="H43" s="334">
        <v>1</v>
      </c>
    </row>
    <row r="44" spans="2:8">
      <c r="B44" s="321" t="s">
        <v>278</v>
      </c>
      <c r="D44" s="334">
        <v>1</v>
      </c>
      <c r="E44" s="334">
        <v>1</v>
      </c>
      <c r="F44" s="334">
        <v>1</v>
      </c>
      <c r="G44" s="334">
        <v>1</v>
      </c>
      <c r="H44" s="334">
        <v>1</v>
      </c>
    </row>
    <row r="45" spans="2:8">
      <c r="B45" s="321" t="s">
        <v>289</v>
      </c>
      <c r="D45" s="334">
        <v>1</v>
      </c>
      <c r="E45" s="334">
        <v>1</v>
      </c>
      <c r="F45" s="334">
        <v>1</v>
      </c>
      <c r="G45" s="334">
        <v>1</v>
      </c>
      <c r="H45" s="334">
        <v>1</v>
      </c>
    </row>
    <row r="46" spans="2:8">
      <c r="B46" s="321" t="s">
        <v>432</v>
      </c>
      <c r="D46" s="334">
        <v>1</v>
      </c>
      <c r="E46" s="334">
        <v>1</v>
      </c>
      <c r="F46" s="334">
        <v>1</v>
      </c>
      <c r="G46" s="334">
        <v>1</v>
      </c>
      <c r="H46" s="334">
        <v>1</v>
      </c>
    </row>
    <row r="47" spans="2:8">
      <c r="B47" s="321" t="s">
        <v>280</v>
      </c>
      <c r="D47" s="334">
        <v>0</v>
      </c>
      <c r="E47" s="334">
        <v>1</v>
      </c>
      <c r="F47" s="334">
        <v>1</v>
      </c>
      <c r="G47" s="334">
        <v>1</v>
      </c>
      <c r="H47" s="334">
        <v>1</v>
      </c>
    </row>
    <row r="48" spans="2:8">
      <c r="B48" s="321" t="s">
        <v>290</v>
      </c>
      <c r="D48" s="334">
        <v>0</v>
      </c>
      <c r="E48" s="334">
        <v>0</v>
      </c>
      <c r="F48" s="334">
        <v>1</v>
      </c>
      <c r="G48" s="334">
        <v>1</v>
      </c>
      <c r="H48" s="334">
        <v>1</v>
      </c>
    </row>
    <row r="49" spans="2:8">
      <c r="B49" s="328" t="s">
        <v>335</v>
      </c>
      <c r="D49" s="336">
        <f>SUM(D41:D48)</f>
        <v>5</v>
      </c>
      <c r="E49" s="336">
        <f>SUM(E41:E48)</f>
        <v>6</v>
      </c>
      <c r="F49" s="336">
        <f>SUM(F41:F48)</f>
        <v>8</v>
      </c>
      <c r="G49" s="336">
        <f>SUM(G41:G48)</f>
        <v>8</v>
      </c>
      <c r="H49" s="336">
        <f>SUM(H41:H48)</f>
        <v>8</v>
      </c>
    </row>
    <row r="50" spans="2:8">
      <c r="B50" s="321" t="s">
        <v>274</v>
      </c>
      <c r="D50" s="334">
        <v>0</v>
      </c>
      <c r="E50" s="334">
        <v>0</v>
      </c>
      <c r="F50" s="334">
        <v>0</v>
      </c>
      <c r="G50" s="334">
        <v>0</v>
      </c>
      <c r="H50" s="334">
        <v>0</v>
      </c>
    </row>
    <row r="51" spans="2:8">
      <c r="B51" s="321" t="s">
        <v>291</v>
      </c>
      <c r="D51" s="334">
        <v>1</v>
      </c>
      <c r="E51" s="334">
        <v>1</v>
      </c>
      <c r="F51" s="334">
        <v>1</v>
      </c>
      <c r="G51" s="334">
        <v>1</v>
      </c>
      <c r="H51" s="334">
        <v>1</v>
      </c>
    </row>
    <row r="52" spans="2:8">
      <c r="B52" s="321" t="s">
        <v>270</v>
      </c>
      <c r="D52" s="334">
        <v>1</v>
      </c>
      <c r="E52" s="334">
        <v>1</v>
      </c>
      <c r="F52" s="334">
        <v>1</v>
      </c>
      <c r="G52" s="334">
        <v>1</v>
      </c>
      <c r="H52" s="334">
        <v>1</v>
      </c>
    </row>
    <row r="53" spans="2:8">
      <c r="B53" s="321" t="s">
        <v>354</v>
      </c>
      <c r="D53" s="334">
        <v>0</v>
      </c>
      <c r="E53" s="334">
        <v>0</v>
      </c>
      <c r="F53" s="334">
        <v>1</v>
      </c>
      <c r="G53" s="334">
        <v>1</v>
      </c>
      <c r="H53" s="334">
        <v>1</v>
      </c>
    </row>
    <row r="54" spans="2:8">
      <c r="B54" s="321" t="s">
        <v>404</v>
      </c>
      <c r="C54" s="395">
        <v>0.2</v>
      </c>
      <c r="D54" s="329">
        <f>Assumptions!D$92*$C$54</f>
        <v>1</v>
      </c>
      <c r="E54" s="329">
        <f>Assumptions!E$92*$C$54</f>
        <v>2</v>
      </c>
      <c r="F54" s="329">
        <f>Assumptions!F$92*$C$54</f>
        <v>3</v>
      </c>
      <c r="G54" s="329">
        <f>Assumptions!G$92*$C$54</f>
        <v>6</v>
      </c>
      <c r="H54" s="329">
        <f>Assumptions!H$92*$C$54</f>
        <v>8</v>
      </c>
    </row>
    <row r="55" spans="2:8">
      <c r="B55" s="328" t="s">
        <v>336</v>
      </c>
      <c r="D55" s="336">
        <f>SUM(D50:D54)</f>
        <v>3</v>
      </c>
      <c r="E55" s="336">
        <f>SUM(E50:E54)</f>
        <v>4</v>
      </c>
      <c r="F55" s="336">
        <f>SUM(F50:F54)</f>
        <v>6</v>
      </c>
      <c r="G55" s="336">
        <f>SUM(G50:G54)</f>
        <v>9</v>
      </c>
      <c r="H55" s="336">
        <f>SUM(H50:H54)</f>
        <v>11</v>
      </c>
    </row>
    <row r="56" spans="2:8">
      <c r="D56" s="337">
        <f>D55+D49</f>
        <v>8</v>
      </c>
      <c r="E56" s="337">
        <f>E55+E49</f>
        <v>10</v>
      </c>
      <c r="F56" s="337">
        <f>F55+F49</f>
        <v>14</v>
      </c>
      <c r="G56" s="337">
        <f>G55+G49</f>
        <v>17</v>
      </c>
      <c r="H56" s="337">
        <f>H55+H49</f>
        <v>19</v>
      </c>
    </row>
    <row r="57" spans="2:8">
      <c r="B57" s="307" t="s">
        <v>394</v>
      </c>
      <c r="D57" s="335">
        <f>SUM(D56,D49,D38,D24,D27,D31)</f>
        <v>39</v>
      </c>
      <c r="E57" s="335">
        <f>SUM(E56,E49,E38,E24,E27,E31)</f>
        <v>76</v>
      </c>
      <c r="F57" s="335">
        <f>SUM(F56,F49,F38,F24,F27,F31)</f>
        <v>95</v>
      </c>
      <c r="G57" s="335">
        <f>SUM(G56,G49,G38,G24,G27,G31)</f>
        <v>161</v>
      </c>
      <c r="H57" s="335">
        <f>SUM(H56,H49,H38,H24,H27,H31)</f>
        <v>203</v>
      </c>
    </row>
    <row r="58" spans="2:8">
      <c r="D58" s="335">
        <f>SUM(Assumptions!D25:D26)</f>
        <v>2375.3005434782608</v>
      </c>
      <c r="E58" s="335">
        <f>SUM(Assumptions!E25:E26)</f>
        <v>9080.2645161290311</v>
      </c>
      <c r="F58" s="335">
        <f>SUM(Assumptions!F25:F26)</f>
        <v>9119.7174418604664</v>
      </c>
      <c r="G58" s="335">
        <f>SUM(Assumptions!G25:G26)</f>
        <v>18392.25</v>
      </c>
      <c r="H58" s="335">
        <f>SUM(Assumptions!H25:H26)</f>
        <v>23056.318965517243</v>
      </c>
    </row>
    <row r="59" spans="2:8">
      <c r="D59" s="335">
        <f>D58/D57</f>
        <v>60.905142140468229</v>
      </c>
      <c r="E59" s="335">
        <f>E58/E57</f>
        <v>119.47716468590831</v>
      </c>
      <c r="F59" s="335">
        <f>F58/F57</f>
        <v>95.997025703794378</v>
      </c>
      <c r="G59" s="335">
        <f>G58/G57</f>
        <v>114.23757763975155</v>
      </c>
      <c r="H59" s="335">
        <f>H58/H57</f>
        <v>113.57792593850859</v>
      </c>
    </row>
    <row r="60" spans="2:8">
      <c r="B60" s="342" t="s">
        <v>363</v>
      </c>
      <c r="D60" s="342"/>
      <c r="E60" s="342">
        <v>1</v>
      </c>
      <c r="F60" s="342">
        <v>2</v>
      </c>
      <c r="G60" s="342">
        <v>3</v>
      </c>
      <c r="H60" s="342">
        <v>4</v>
      </c>
    </row>
    <row r="61" spans="2:8">
      <c r="D61" s="308">
        <f>first_year</f>
        <v>2009</v>
      </c>
      <c r="E61" s="308">
        <f>D61+1</f>
        <v>2010</v>
      </c>
      <c r="F61" s="308">
        <f>E61+1</f>
        <v>2011</v>
      </c>
      <c r="G61" s="308">
        <f>F61+1</f>
        <v>2012</v>
      </c>
      <c r="H61" s="308">
        <f>G61+1</f>
        <v>2013</v>
      </c>
    </row>
    <row r="62" spans="2:8">
      <c r="B62" s="320" t="s">
        <v>488</v>
      </c>
      <c r="C62" s="307" t="s">
        <v>341</v>
      </c>
      <c r="D62" s="319"/>
      <c r="E62" s="319"/>
      <c r="F62" s="319"/>
      <c r="G62" s="319"/>
      <c r="H62" s="319"/>
    </row>
    <row r="63" spans="2:8">
      <c r="B63" s="321" t="s">
        <v>490</v>
      </c>
      <c r="C63" s="346">
        <v>0.05</v>
      </c>
      <c r="D63" s="313">
        <f t="shared" ref="D63:D68" si="0">D18*VLOOKUP($B63,$B$117:$S$141,2,FALSE)</f>
        <v>454150</v>
      </c>
      <c r="E63" s="313">
        <f t="shared" ref="E63:H68" si="1">E18*VLOOKUP($B63,$B$117:$S$141,2,FALSE)*(1+$C63)^E$60</f>
        <v>1812058.5</v>
      </c>
      <c r="F63" s="313">
        <f t="shared" si="1"/>
        <v>1902661.425</v>
      </c>
      <c r="G63" s="313">
        <f t="shared" si="1"/>
        <v>4100736.0712500005</v>
      </c>
      <c r="H63" s="313">
        <f t="shared" si="1"/>
        <v>5409817.2016874999</v>
      </c>
    </row>
    <row r="64" spans="2:8">
      <c r="B64" s="321" t="s">
        <v>491</v>
      </c>
      <c r="C64" s="346">
        <v>0.05</v>
      </c>
      <c r="D64" s="313">
        <f t="shared" si="0"/>
        <v>139200</v>
      </c>
      <c r="E64" s="313">
        <f t="shared" si="1"/>
        <v>438480</v>
      </c>
      <c r="F64" s="313">
        <f t="shared" si="1"/>
        <v>460404</v>
      </c>
      <c r="G64" s="313">
        <f t="shared" si="1"/>
        <v>1127989.8</v>
      </c>
      <c r="H64" s="313">
        <f t="shared" si="1"/>
        <v>1522786.23</v>
      </c>
    </row>
    <row r="65" spans="2:8">
      <c r="B65" s="321" t="s">
        <v>430</v>
      </c>
      <c r="C65" s="346">
        <v>0.05</v>
      </c>
      <c r="D65" s="313">
        <f t="shared" si="0"/>
        <v>523250</v>
      </c>
      <c r="E65" s="313">
        <f t="shared" si="1"/>
        <v>1098825</v>
      </c>
      <c r="F65" s="313">
        <f t="shared" si="1"/>
        <v>1038389.625</v>
      </c>
      <c r="G65" s="313">
        <f t="shared" si="1"/>
        <v>1938327.3000000003</v>
      </c>
      <c r="H65" s="313">
        <f t="shared" si="1"/>
        <v>2671257.3103125002</v>
      </c>
    </row>
    <row r="66" spans="2:8">
      <c r="B66" s="321" t="s">
        <v>431</v>
      </c>
      <c r="C66" s="346">
        <v>0.05</v>
      </c>
      <c r="D66" s="313">
        <f t="shared" si="0"/>
        <v>139200</v>
      </c>
      <c r="E66" s="313">
        <f t="shared" si="1"/>
        <v>292320</v>
      </c>
      <c r="F66" s="313">
        <f t="shared" si="1"/>
        <v>306936</v>
      </c>
      <c r="G66" s="313">
        <f t="shared" si="1"/>
        <v>483424.20000000007</v>
      </c>
      <c r="H66" s="313">
        <f t="shared" si="1"/>
        <v>676793.88</v>
      </c>
    </row>
    <row r="67" spans="2:8">
      <c r="B67" s="321" t="s">
        <v>288</v>
      </c>
      <c r="C67" s="346">
        <v>0.05</v>
      </c>
      <c r="D67" s="313">
        <f t="shared" si="0"/>
        <v>696000</v>
      </c>
      <c r="E67" s="313">
        <f t="shared" si="1"/>
        <v>1461600</v>
      </c>
      <c r="F67" s="313">
        <f t="shared" si="1"/>
        <v>2302020</v>
      </c>
      <c r="G67" s="313">
        <f t="shared" si="1"/>
        <v>4834242.0000000009</v>
      </c>
      <c r="H67" s="313">
        <f t="shared" si="1"/>
        <v>6767938.7999999998</v>
      </c>
    </row>
    <row r="68" spans="2:8">
      <c r="B68" s="321" t="s">
        <v>273</v>
      </c>
      <c r="C68" s="346">
        <v>0.05</v>
      </c>
      <c r="D68" s="313">
        <f t="shared" si="0"/>
        <v>696000</v>
      </c>
      <c r="E68" s="313">
        <f t="shared" si="1"/>
        <v>1461600</v>
      </c>
      <c r="F68" s="313">
        <f t="shared" si="1"/>
        <v>2302020</v>
      </c>
      <c r="G68" s="313">
        <f t="shared" si="1"/>
        <v>4834242.0000000009</v>
      </c>
      <c r="H68" s="313">
        <f t="shared" si="1"/>
        <v>6767938.7999999998</v>
      </c>
    </row>
    <row r="69" spans="2:8">
      <c r="C69" s="346"/>
      <c r="D69" s="325">
        <f>SUM(D63:D68)*Assumptions!$C$10</f>
        <v>661950</v>
      </c>
      <c r="E69" s="326">
        <f>SUM(E63:E68)</f>
        <v>6564883.5</v>
      </c>
      <c r="F69" s="326">
        <f>SUM(F63:F68)</f>
        <v>8312431.0499999998</v>
      </c>
      <c r="G69" s="326">
        <f>SUM(G63:G68)</f>
        <v>17318961.371250004</v>
      </c>
      <c r="H69" s="327">
        <f>SUM(H63:H68)</f>
        <v>23816532.222000003</v>
      </c>
    </row>
    <row r="70" spans="2:8">
      <c r="C70" s="346"/>
      <c r="D70" s="423"/>
      <c r="E70" s="423"/>
      <c r="F70" s="423"/>
      <c r="G70" s="423"/>
      <c r="H70" s="423"/>
    </row>
    <row r="71" spans="2:8">
      <c r="B71" s="320" t="s">
        <v>478</v>
      </c>
      <c r="C71" s="346"/>
      <c r="D71" s="325">
        <f>D69*D10/D9</f>
        <v>509790.43392220623</v>
      </c>
      <c r="E71" s="326">
        <f>E69*E10/E9</f>
        <v>4534745.1890228428</v>
      </c>
      <c r="F71" s="326">
        <f>F69*F10/F9</f>
        <v>4757662.900474254</v>
      </c>
      <c r="G71" s="326">
        <f>G69*G10/G9</f>
        <v>8505168.6903708279</v>
      </c>
      <c r="H71" s="327">
        <f>H69*H10/H9</f>
        <v>10119323.325122859</v>
      </c>
    </row>
    <row r="72" spans="2:8">
      <c r="C72" s="346"/>
      <c r="D72" s="457"/>
      <c r="E72" s="423"/>
      <c r="F72" s="423"/>
      <c r="G72" s="423"/>
      <c r="H72" s="423"/>
    </row>
    <row r="73" spans="2:8">
      <c r="B73" s="307" t="s">
        <v>416</v>
      </c>
      <c r="C73" s="346"/>
      <c r="D73" s="313">
        <f>VLOOKUP($B73,$B$117:$S$143,2,FALSE)*D$11/$C$5</f>
        <v>31743.833333333332</v>
      </c>
      <c r="E73" s="313">
        <f t="shared" ref="E73:H74" si="2">VLOOKUP($B73,$B$117:$S$143,2,FALSE)*E$11/$C$5</f>
        <v>163254</v>
      </c>
      <c r="F73" s="313">
        <f t="shared" si="2"/>
        <v>226741.66666666669</v>
      </c>
      <c r="G73" s="313">
        <f t="shared" si="2"/>
        <v>544180</v>
      </c>
      <c r="H73" s="313">
        <f t="shared" si="2"/>
        <v>770921.66666666674</v>
      </c>
    </row>
    <row r="74" spans="2:8">
      <c r="B74" s="307" t="s">
        <v>457</v>
      </c>
      <c r="C74" s="346"/>
      <c r="D74" s="313">
        <f>VLOOKUP($B74,$B$117:$S$143,2,FALSE)*D$11/$C$5</f>
        <v>31743.833333333332</v>
      </c>
      <c r="E74" s="313">
        <f t="shared" si="2"/>
        <v>163254</v>
      </c>
      <c r="F74" s="313">
        <f t="shared" si="2"/>
        <v>226741.66666666669</v>
      </c>
      <c r="G74" s="313">
        <f t="shared" si="2"/>
        <v>544180</v>
      </c>
      <c r="H74" s="313">
        <f t="shared" si="2"/>
        <v>770921.66666666674</v>
      </c>
    </row>
    <row r="75" spans="2:8">
      <c r="B75" s="307" t="s">
        <v>370</v>
      </c>
      <c r="C75" s="346"/>
      <c r="D75" s="325">
        <f>D$69*D$11/D$9</f>
        <v>152159.5660777938</v>
      </c>
      <c r="E75" s="325">
        <f>E$69*E$11/E$9</f>
        <v>2030138.3109771565</v>
      </c>
      <c r="F75" s="325">
        <f>F$69*F$11/F$9</f>
        <v>3554768.1495257458</v>
      </c>
      <c r="G75" s="325">
        <f>G$69*G$11/G$9</f>
        <v>8813792.6808791775</v>
      </c>
      <c r="H75" s="325">
        <f>H$69*H$11/H$9</f>
        <v>13697208.896877147</v>
      </c>
    </row>
    <row r="76" spans="2:8">
      <c r="B76" s="320" t="s">
        <v>415</v>
      </c>
      <c r="C76" s="346"/>
      <c r="D76" s="325">
        <f>SUM(D73:D75)</f>
        <v>215647.23274446046</v>
      </c>
      <c r="E76" s="325">
        <f>SUM(E73:E75)</f>
        <v>2356646.3109771563</v>
      </c>
      <c r="F76" s="325">
        <f>SUM(F73:F75)</f>
        <v>4008251.4828590793</v>
      </c>
      <c r="G76" s="325">
        <f>SUM(G73:G75)</f>
        <v>9902152.6808791775</v>
      </c>
      <c r="H76" s="325">
        <f>SUM(H73:H75)</f>
        <v>15239052.230210481</v>
      </c>
    </row>
    <row r="77" spans="2:8">
      <c r="C77" s="346"/>
    </row>
    <row r="78" spans="2:8">
      <c r="B78" s="320" t="s">
        <v>458</v>
      </c>
      <c r="C78" s="346"/>
      <c r="D78" s="423"/>
      <c r="E78" s="423"/>
      <c r="F78" s="423"/>
      <c r="G78" s="423"/>
      <c r="H78" s="423"/>
    </row>
    <row r="79" spans="2:8">
      <c r="B79" s="321" t="s">
        <v>430</v>
      </c>
      <c r="C79" s="346">
        <v>0.05</v>
      </c>
      <c r="D79" s="313">
        <f>D26*VLOOKUP($B79,$B$117:$S$141,2,FALSE)</f>
        <v>0</v>
      </c>
      <c r="E79" s="313">
        <f>E26*VLOOKUP($B79,$B$117:$S$141,2,FALSE)*(1+$C79)^E$60</f>
        <v>0</v>
      </c>
      <c r="F79" s="313">
        <f>F26*VLOOKUP($B79,$B$117:$S$141,2,FALSE)*(1+$C79)^F$60</f>
        <v>230753.25</v>
      </c>
      <c r="G79" s="313">
        <f>G26*VLOOKUP($B79,$B$117:$S$141,2,FALSE)*(1+$C79)^G$60</f>
        <v>242290.91250000003</v>
      </c>
      <c r="H79" s="313">
        <f>H26*VLOOKUP($B79,$B$117:$S$141,2,FALSE)*(1+$C79)^H$60</f>
        <v>254405.458125</v>
      </c>
    </row>
    <row r="80" spans="2:8">
      <c r="C80" s="346"/>
      <c r="D80" s="325">
        <f>SUM(D79:D79)*Assumptions!$C$7</f>
        <v>0</v>
      </c>
      <c r="E80" s="326">
        <f>SUM(E79:E79)</f>
        <v>0</v>
      </c>
      <c r="F80" s="326">
        <f>SUM(F79:F79)</f>
        <v>230753.25</v>
      </c>
      <c r="G80" s="326">
        <f>SUM(G79:G79)</f>
        <v>242290.91250000003</v>
      </c>
      <c r="H80" s="327">
        <f>SUM(H79:H79)</f>
        <v>254405.458125</v>
      </c>
    </row>
    <row r="81" spans="2:8">
      <c r="C81" s="346"/>
      <c r="D81" s="423"/>
      <c r="E81" s="423"/>
      <c r="F81" s="423"/>
      <c r="G81" s="423"/>
      <c r="H81" s="423"/>
    </row>
    <row r="82" spans="2:8">
      <c r="B82" s="320" t="s">
        <v>489</v>
      </c>
      <c r="C82" s="346"/>
      <c r="D82" s="423"/>
      <c r="E82" s="423"/>
      <c r="F82" s="423"/>
      <c r="G82" s="423"/>
      <c r="H82" s="423"/>
    </row>
    <row r="83" spans="2:8">
      <c r="B83" s="321" t="s">
        <v>487</v>
      </c>
      <c r="C83" s="346">
        <v>0.05</v>
      </c>
      <c r="D83" s="313">
        <f>D30*VLOOKUP($B83,$B$117:$S$141,2,FALSE)</f>
        <v>416600</v>
      </c>
      <c r="E83" s="313">
        <f>E30*VLOOKUP($B83,$B$117:$S$141,2,FALSE)*(1+$C83)^E$60</f>
        <v>656145</v>
      </c>
      <c r="F83" s="313">
        <f>F30*VLOOKUP($B83,$B$117:$S$141,2,FALSE)*(1+$C83)^F$60</f>
        <v>688952.25</v>
      </c>
      <c r="G83" s="313">
        <f>G30*VLOOKUP($B83,$B$117:$S$141,2,FALSE)*(1+$C83)^G$60</f>
        <v>723399.86250000005</v>
      </c>
      <c r="H83" s="313">
        <f>H30*VLOOKUP($B83,$B$117:$S$141,2,FALSE)*(1+$C83)^H$60</f>
        <v>759569.85562499997</v>
      </c>
    </row>
    <row r="84" spans="2:8">
      <c r="C84" s="346"/>
      <c r="D84" s="331">
        <f>SUM(D83:D83)*Assumptions!$C$10</f>
        <v>104150</v>
      </c>
      <c r="E84" s="332">
        <f>SUM(E83:E83)</f>
        <v>656145</v>
      </c>
      <c r="F84" s="332">
        <f>SUM(F83:F83)</f>
        <v>688952.25</v>
      </c>
      <c r="G84" s="332">
        <f>SUM(G83:G83)</f>
        <v>723399.86250000005</v>
      </c>
      <c r="H84" s="333">
        <f>SUM(H83:H83)</f>
        <v>759569.85562499997</v>
      </c>
    </row>
    <row r="85" spans="2:8">
      <c r="B85" s="322" t="s">
        <v>333</v>
      </c>
      <c r="C85" s="346"/>
    </row>
    <row r="86" spans="2:8">
      <c r="B86" s="321" t="s">
        <v>279</v>
      </c>
      <c r="C86" s="346">
        <v>0.05</v>
      </c>
      <c r="D86" s="313">
        <f>VLOOKUP($B86,$B$117:$S$141,2,FALSE)*D34</f>
        <v>415600</v>
      </c>
      <c r="E86" s="313">
        <f t="shared" ref="E86:H89" si="3">VLOOKUP($B86,$B$117:$S$141,2,FALSE)*E34+$C86*D86</f>
        <v>436380</v>
      </c>
      <c r="F86" s="313">
        <f t="shared" si="3"/>
        <v>437419</v>
      </c>
      <c r="G86" s="313">
        <f t="shared" si="3"/>
        <v>437470.95</v>
      </c>
      <c r="H86" s="313">
        <f t="shared" si="3"/>
        <v>437473.54749999999</v>
      </c>
    </row>
    <row r="87" spans="2:8">
      <c r="B87" s="321" t="s">
        <v>292</v>
      </c>
      <c r="C87" s="346">
        <v>0.05</v>
      </c>
      <c r="D87" s="313">
        <f>VLOOKUP($B87,$B$117:$S$141,2,FALSE)*D35</f>
        <v>0</v>
      </c>
      <c r="E87" s="313">
        <f t="shared" si="3"/>
        <v>0</v>
      </c>
      <c r="F87" s="313">
        <f t="shared" si="3"/>
        <v>346500</v>
      </c>
      <c r="G87" s="313">
        <f t="shared" si="3"/>
        <v>363825</v>
      </c>
      <c r="H87" s="313">
        <f t="shared" si="3"/>
        <v>364691.25</v>
      </c>
    </row>
    <row r="88" spans="2:8">
      <c r="B88" s="321" t="s">
        <v>281</v>
      </c>
      <c r="C88" s="346">
        <v>0.05</v>
      </c>
      <c r="D88" s="313">
        <f>VLOOKUP($B88,$B$117:$S$141,2,FALSE)*D36</f>
        <v>0</v>
      </c>
      <c r="E88" s="313">
        <f t="shared" si="3"/>
        <v>277400</v>
      </c>
      <c r="F88" s="313">
        <f t="shared" si="3"/>
        <v>568670</v>
      </c>
      <c r="G88" s="313">
        <f t="shared" si="3"/>
        <v>860633.5</v>
      </c>
      <c r="H88" s="313">
        <f t="shared" si="3"/>
        <v>1430031.675</v>
      </c>
    </row>
    <row r="89" spans="2:8">
      <c r="B89" s="321" t="s">
        <v>282</v>
      </c>
      <c r="C89" s="346">
        <v>0.05</v>
      </c>
      <c r="D89" s="313">
        <f>VLOOKUP($B89,$B$117:$S$141,2,FALSE)*D37</f>
        <v>277400</v>
      </c>
      <c r="E89" s="313">
        <f t="shared" si="3"/>
        <v>291270</v>
      </c>
      <c r="F89" s="313">
        <f t="shared" si="3"/>
        <v>291963.5</v>
      </c>
      <c r="G89" s="313">
        <f t="shared" si="3"/>
        <v>291998.17499999999</v>
      </c>
      <c r="H89" s="313">
        <f t="shared" si="3"/>
        <v>291999.90875</v>
      </c>
    </row>
    <row r="90" spans="2:8">
      <c r="B90" s="321"/>
      <c r="C90" s="346"/>
      <c r="D90" s="325">
        <f>SUM(D86:D89)*Assumptions!$C$10</f>
        <v>173250</v>
      </c>
      <c r="E90" s="326">
        <f>SUM(E86:E89)</f>
        <v>1005050</v>
      </c>
      <c r="F90" s="326">
        <f>SUM(F86:F89)</f>
        <v>1644552.5</v>
      </c>
      <c r="G90" s="326">
        <f>SUM(G86:G89)</f>
        <v>1953927.625</v>
      </c>
      <c r="H90" s="327">
        <f>SUM(H86:H89)</f>
        <v>2524196.3812500001</v>
      </c>
    </row>
    <row r="91" spans="2:8">
      <c r="B91" s="321"/>
      <c r="C91" s="346"/>
      <c r="D91" s="313"/>
      <c r="E91" s="313"/>
      <c r="F91" s="313"/>
      <c r="G91" s="313"/>
      <c r="H91" s="313"/>
    </row>
    <row r="92" spans="2:8">
      <c r="B92" s="322" t="s">
        <v>334</v>
      </c>
      <c r="C92" s="346"/>
    </row>
    <row r="93" spans="2:8">
      <c r="B93" s="321" t="s">
        <v>276</v>
      </c>
      <c r="C93" s="346">
        <v>0.05</v>
      </c>
      <c r="D93" s="313">
        <f t="shared" ref="D93:D100" si="4">VLOOKUP($B93,$B$117:$S$141,2,FALSE)*D41</f>
        <v>692000</v>
      </c>
      <c r="E93" s="313">
        <f t="shared" ref="E93:H100" si="5">VLOOKUP($B93,$B$117:$S$141,2,FALSE)*E41+$C93*D93</f>
        <v>726600</v>
      </c>
      <c r="F93" s="313">
        <f t="shared" si="5"/>
        <v>728330</v>
      </c>
      <c r="G93" s="313">
        <f t="shared" si="5"/>
        <v>728416.5</v>
      </c>
      <c r="H93" s="313">
        <f t="shared" si="5"/>
        <v>728420.82499999995</v>
      </c>
    </row>
    <row r="94" spans="2:8">
      <c r="B94" s="321" t="s">
        <v>277</v>
      </c>
      <c r="C94" s="346">
        <v>0.05</v>
      </c>
      <c r="D94" s="313">
        <f t="shared" si="4"/>
        <v>0</v>
      </c>
      <c r="E94" s="313">
        <f t="shared" si="5"/>
        <v>0</v>
      </c>
      <c r="F94" s="313">
        <f t="shared" si="5"/>
        <v>415600</v>
      </c>
      <c r="G94" s="313">
        <f t="shared" si="5"/>
        <v>436380</v>
      </c>
      <c r="H94" s="313">
        <f t="shared" si="5"/>
        <v>437419</v>
      </c>
    </row>
    <row r="95" spans="2:8">
      <c r="B95" s="321" t="s">
        <v>492</v>
      </c>
      <c r="C95" s="346">
        <v>0.05</v>
      </c>
      <c r="D95" s="313">
        <f t="shared" si="4"/>
        <v>415600</v>
      </c>
      <c r="E95" s="313">
        <f t="shared" si="5"/>
        <v>436380</v>
      </c>
      <c r="F95" s="313">
        <f t="shared" si="5"/>
        <v>437419</v>
      </c>
      <c r="G95" s="313">
        <f t="shared" si="5"/>
        <v>437470.95</v>
      </c>
      <c r="H95" s="313">
        <f t="shared" si="5"/>
        <v>437473.54749999999</v>
      </c>
    </row>
    <row r="96" spans="2:8">
      <c r="B96" s="321" t="s">
        <v>278</v>
      </c>
      <c r="C96" s="346">
        <v>0.05</v>
      </c>
      <c r="D96" s="313">
        <f t="shared" si="4"/>
        <v>415600</v>
      </c>
      <c r="E96" s="313">
        <f t="shared" si="5"/>
        <v>436380</v>
      </c>
      <c r="F96" s="313">
        <f t="shared" si="5"/>
        <v>437419</v>
      </c>
      <c r="G96" s="313">
        <f t="shared" si="5"/>
        <v>437470.95</v>
      </c>
      <c r="H96" s="313">
        <f t="shared" si="5"/>
        <v>437473.54749999999</v>
      </c>
    </row>
    <row r="97" spans="2:8">
      <c r="B97" s="321" t="s">
        <v>289</v>
      </c>
      <c r="C97" s="346">
        <v>0.05</v>
      </c>
      <c r="D97" s="313">
        <f t="shared" si="4"/>
        <v>415600</v>
      </c>
      <c r="E97" s="313">
        <f t="shared" si="5"/>
        <v>436380</v>
      </c>
      <c r="F97" s="313">
        <f t="shared" si="5"/>
        <v>437419</v>
      </c>
      <c r="G97" s="313">
        <f t="shared" si="5"/>
        <v>437470.95</v>
      </c>
      <c r="H97" s="313">
        <f t="shared" si="5"/>
        <v>437473.54749999999</v>
      </c>
    </row>
    <row r="98" spans="2:8">
      <c r="B98" s="321" t="s">
        <v>432</v>
      </c>
      <c r="C98" s="346">
        <v>0.05</v>
      </c>
      <c r="D98" s="313">
        <f t="shared" si="4"/>
        <v>415600</v>
      </c>
      <c r="E98" s="313">
        <f t="shared" si="5"/>
        <v>436380</v>
      </c>
      <c r="F98" s="313">
        <f t="shared" si="5"/>
        <v>437419</v>
      </c>
      <c r="G98" s="313">
        <f t="shared" si="5"/>
        <v>437470.95</v>
      </c>
      <c r="H98" s="313">
        <f t="shared" si="5"/>
        <v>437473.54749999999</v>
      </c>
    </row>
    <row r="99" spans="2:8">
      <c r="B99" s="321" t="s">
        <v>280</v>
      </c>
      <c r="C99" s="346">
        <v>0.05</v>
      </c>
      <c r="D99" s="313">
        <f t="shared" si="4"/>
        <v>0</v>
      </c>
      <c r="E99" s="313">
        <f t="shared" si="5"/>
        <v>208300</v>
      </c>
      <c r="F99" s="313">
        <f t="shared" si="5"/>
        <v>218715</v>
      </c>
      <c r="G99" s="313">
        <f t="shared" si="5"/>
        <v>219235.75</v>
      </c>
      <c r="H99" s="313">
        <f t="shared" si="5"/>
        <v>219261.78750000001</v>
      </c>
    </row>
    <row r="100" spans="2:8">
      <c r="B100" s="321" t="s">
        <v>290</v>
      </c>
      <c r="C100" s="346">
        <v>0.05</v>
      </c>
      <c r="D100" s="313">
        <f t="shared" si="4"/>
        <v>0</v>
      </c>
      <c r="E100" s="313">
        <f t="shared" si="5"/>
        <v>0</v>
      </c>
      <c r="F100" s="313">
        <f t="shared" si="5"/>
        <v>346500</v>
      </c>
      <c r="G100" s="313">
        <f t="shared" si="5"/>
        <v>363825</v>
      </c>
      <c r="H100" s="313">
        <f t="shared" si="5"/>
        <v>364691.25</v>
      </c>
    </row>
    <row r="101" spans="2:8">
      <c r="B101" s="321"/>
      <c r="C101" s="346"/>
      <c r="D101" s="313"/>
      <c r="E101" s="313"/>
      <c r="F101" s="313"/>
      <c r="G101" s="313"/>
      <c r="H101" s="313"/>
    </row>
    <row r="102" spans="2:8">
      <c r="B102" s="321" t="s">
        <v>274</v>
      </c>
      <c r="C102" s="346">
        <v>0.05</v>
      </c>
      <c r="D102" s="313">
        <f>VLOOKUP($B102,$B$117:$S$141,2,FALSE)*D50</f>
        <v>0</v>
      </c>
      <c r="E102" s="313">
        <f t="shared" ref="E102:H106" si="6">VLOOKUP($B102,$B$117:$S$141,2,FALSE)*E50+$C102*D102</f>
        <v>0</v>
      </c>
      <c r="F102" s="313">
        <f t="shared" si="6"/>
        <v>0</v>
      </c>
      <c r="G102" s="313">
        <f t="shared" si="6"/>
        <v>0</v>
      </c>
      <c r="H102" s="313">
        <f t="shared" si="6"/>
        <v>0</v>
      </c>
    </row>
    <row r="103" spans="2:8">
      <c r="B103" s="321" t="s">
        <v>291</v>
      </c>
      <c r="C103" s="346">
        <v>0.05</v>
      </c>
      <c r="D103" s="313">
        <f>VLOOKUP($B103,$B$117:$S$141,2,FALSE)*D51</f>
        <v>104650</v>
      </c>
      <c r="E103" s="313">
        <f t="shared" si="6"/>
        <v>109882.5</v>
      </c>
      <c r="F103" s="313">
        <f t="shared" si="6"/>
        <v>110144.125</v>
      </c>
      <c r="G103" s="313">
        <f t="shared" si="6"/>
        <v>110157.20625</v>
      </c>
      <c r="H103" s="313">
        <f t="shared" si="6"/>
        <v>110157.86031250001</v>
      </c>
    </row>
    <row r="104" spans="2:8">
      <c r="B104" s="321" t="s">
        <v>270</v>
      </c>
      <c r="C104" s="346">
        <v>0.05</v>
      </c>
      <c r="D104" s="313">
        <f>VLOOKUP($B104,$B$117:$S$141,2,FALSE)*D52</f>
        <v>166840</v>
      </c>
      <c r="E104" s="313">
        <f t="shared" si="6"/>
        <v>175182</v>
      </c>
      <c r="F104" s="313">
        <f t="shared" si="6"/>
        <v>175599.1</v>
      </c>
      <c r="G104" s="313">
        <f t="shared" si="6"/>
        <v>175619.95499999999</v>
      </c>
      <c r="H104" s="313">
        <f t="shared" si="6"/>
        <v>175620.99775000001</v>
      </c>
    </row>
    <row r="105" spans="2:8">
      <c r="B105" s="321" t="s">
        <v>354</v>
      </c>
      <c r="C105" s="346">
        <v>0.05</v>
      </c>
      <c r="D105" s="313">
        <f>VLOOKUP($B105,$B$117:$S$141,2,FALSE)*D53</f>
        <v>0</v>
      </c>
      <c r="E105" s="313">
        <f t="shared" si="6"/>
        <v>0</v>
      </c>
      <c r="F105" s="313">
        <f t="shared" si="6"/>
        <v>83920</v>
      </c>
      <c r="G105" s="313">
        <f t="shared" si="6"/>
        <v>88116</v>
      </c>
      <c r="H105" s="313">
        <f t="shared" si="6"/>
        <v>88325.8</v>
      </c>
    </row>
    <row r="106" spans="2:8">
      <c r="B106" s="321" t="s">
        <v>404</v>
      </c>
      <c r="C106" s="346">
        <v>0.05</v>
      </c>
      <c r="D106" s="313">
        <f>VLOOKUP($B106,$B$117:$S$141,2,FALSE)*D54</f>
        <v>70100</v>
      </c>
      <c r="E106" s="313">
        <f t="shared" si="6"/>
        <v>143705</v>
      </c>
      <c r="F106" s="313">
        <f t="shared" si="6"/>
        <v>217485.25</v>
      </c>
      <c r="G106" s="313">
        <f t="shared" si="6"/>
        <v>431474.26250000001</v>
      </c>
      <c r="H106" s="313">
        <f t="shared" si="6"/>
        <v>582373.71312500001</v>
      </c>
    </row>
    <row r="107" spans="2:8">
      <c r="B107" s="282" t="s">
        <v>517</v>
      </c>
      <c r="C107" s="273"/>
      <c r="D107"/>
      <c r="E107"/>
      <c r="F107"/>
      <c r="G107"/>
      <c r="H107"/>
    </row>
    <row r="108" spans="2:8">
      <c r="B108" s="273" t="s">
        <v>390</v>
      </c>
      <c r="C108" s="346">
        <v>0.05</v>
      </c>
      <c r="D108" s="313">
        <f>VLOOKUP($B108,$B$117:$S$141,2,FALSE)</f>
        <v>238880</v>
      </c>
      <c r="E108" s="313">
        <f>VLOOKUP($B108,$B$117:$S$141,2,FALSE)*(1+$C108)^E$60</f>
        <v>250824</v>
      </c>
      <c r="F108" s="313">
        <f>VLOOKUP($B108,$B$117:$S$141,2,FALSE)*(1+$C108)^F$60</f>
        <v>263365.2</v>
      </c>
      <c r="G108" s="313">
        <f>VLOOKUP($B108,$B$117:$S$141,2,FALSE)*(1+$C108)^G$60</f>
        <v>276533.46000000002</v>
      </c>
      <c r="H108" s="313">
        <f>VLOOKUP($B108,$B$117:$S$141,2,FALSE)*(1+$C108)^H$60</f>
        <v>290360.13300000003</v>
      </c>
    </row>
    <row r="109" spans="2:8">
      <c r="B109" s="273" t="s">
        <v>392</v>
      </c>
      <c r="C109" s="346">
        <v>0.05</v>
      </c>
      <c r="D109" s="313">
        <f>VLOOKUP("Customer Delight Services Executive",$B$117:$S$141,2,FALSE)*3</f>
        <v>272490</v>
      </c>
      <c r="E109" s="313">
        <f>VLOOKUP("Customer Delight Services Executive",$B$117:$S$141,2,FALSE)*3*(1+$C65)^E$60</f>
        <v>286114.5</v>
      </c>
      <c r="F109" s="313">
        <f>VLOOKUP("Customer Delight Services Executive",$B$117:$S$141,2,FALSE)*3*(1+$C65)^F$60</f>
        <v>300420.22500000003</v>
      </c>
      <c r="G109" s="313">
        <f>VLOOKUP("Customer Delight Services Executive",$B$117:$S$141,2,FALSE)*3*(1+$C65)^G$60</f>
        <v>315441.23625000002</v>
      </c>
      <c r="H109" s="313">
        <f>VLOOKUP("Customer Delight Services Executive",$B$117:$S$141,2,FALSE)*3*(1+$C65)^H$60</f>
        <v>331213.29806250002</v>
      </c>
    </row>
    <row r="110" spans="2:8">
      <c r="B110" s="273" t="s">
        <v>393</v>
      </c>
      <c r="C110" s="346">
        <v>0.05</v>
      </c>
      <c r="D110" s="313">
        <f>VLOOKUP("Communications Coordinator",$B$117:$S$141,2,FALSE)*4</f>
        <v>280400</v>
      </c>
      <c r="E110" s="313">
        <f>VLOOKUP("Communications Coordinator",$B$117:$S$141,2,FALSE)*4</f>
        <v>280400</v>
      </c>
      <c r="F110" s="313">
        <f>VLOOKUP("Communications Coordinator",$B$117:$S$141,2,FALSE)*4</f>
        <v>280400</v>
      </c>
      <c r="G110" s="313">
        <f>VLOOKUP("Communications Coordinator",$B$117:$S$141,2,FALSE)*4</f>
        <v>280400</v>
      </c>
      <c r="H110" s="313">
        <f>VLOOKUP("Communications Coordinator",$B$117:$S$141,2,FALSE)*4</f>
        <v>280400</v>
      </c>
    </row>
    <row r="111" spans="2:8">
      <c r="B111" s="273" t="s">
        <v>518</v>
      </c>
      <c r="C111" s="172"/>
      <c r="D111" s="217">
        <f>SUM(D108:D110)</f>
        <v>791770</v>
      </c>
      <c r="E111" s="217">
        <f>SUM(E108:E110)</f>
        <v>817338.5</v>
      </c>
      <c r="F111" s="217">
        <f>SUM(F108:F110)</f>
        <v>844185.42500000005</v>
      </c>
      <c r="G111" s="217">
        <f>SUM(G108:G110)</f>
        <v>872374.69625000004</v>
      </c>
      <c r="H111" s="217">
        <f>SUM(H108:H110)</f>
        <v>901973.43106249999</v>
      </c>
    </row>
    <row r="112" spans="2:8">
      <c r="D112" s="325">
        <f>SUM(D93:D110)*Assumptions!$C$7</f>
        <v>1743880</v>
      </c>
      <c r="E112" s="325">
        <f>SUM(E93:E110)*Assumptions!$C$7</f>
        <v>1963264</v>
      </c>
      <c r="F112" s="325">
        <f>SUM(F93:F110)*Assumptions!$C$7</f>
        <v>2445077.4499999997</v>
      </c>
      <c r="G112" s="325">
        <f>SUM(G93:G110)*Assumptions!$C$7</f>
        <v>2587741.585</v>
      </c>
      <c r="H112" s="325">
        <f>SUM(H93:H110)*Assumptions!$C$7</f>
        <v>2679069.427375</v>
      </c>
    </row>
    <row r="113" spans="2:19" ht="13.5" thickBot="1">
      <c r="D113" s="423">
        <f>D112+D90+D69</f>
        <v>2579080</v>
      </c>
      <c r="E113" s="423">
        <f>E112+E90+E69</f>
        <v>9533197.5</v>
      </c>
      <c r="F113" s="423">
        <f>F112+F90+F69</f>
        <v>12402061</v>
      </c>
      <c r="G113" s="423">
        <f>G112+G90+G69</f>
        <v>21860630.581250004</v>
      </c>
      <c r="H113" s="423">
        <f>H112+H90+H69</f>
        <v>29019798.030625001</v>
      </c>
    </row>
    <row r="114" spans="2:19" ht="39" thickBot="1">
      <c r="D114" s="441"/>
      <c r="E114" s="441"/>
      <c r="F114" s="441"/>
      <c r="G114" s="441"/>
      <c r="H114" s="441"/>
      <c r="R114" s="309" t="s">
        <v>268</v>
      </c>
      <c r="S114" s="309" t="s">
        <v>269</v>
      </c>
    </row>
    <row r="115" spans="2:19" ht="13.5" thickBot="1">
      <c r="D115" s="441"/>
      <c r="E115" s="441"/>
      <c r="F115" s="441"/>
      <c r="G115" s="441"/>
      <c r="H115" s="441"/>
      <c r="R115" s="442"/>
      <c r="S115" s="442"/>
    </row>
    <row r="116" spans="2:19" ht="26.25" thickBot="1">
      <c r="B116" s="324" t="s">
        <v>332</v>
      </c>
      <c r="C116" s="309" t="s">
        <v>196</v>
      </c>
      <c r="D116" s="323" t="s">
        <v>84</v>
      </c>
      <c r="E116" s="309" t="s">
        <v>85</v>
      </c>
      <c r="F116" s="309" t="s">
        <v>258</v>
      </c>
      <c r="G116" s="309" t="s">
        <v>259</v>
      </c>
      <c r="H116" s="309" t="s">
        <v>84</v>
      </c>
      <c r="I116" s="309" t="s">
        <v>260</v>
      </c>
      <c r="J116" s="309" t="s">
        <v>261</v>
      </c>
      <c r="K116" s="309" t="s">
        <v>262</v>
      </c>
      <c r="L116" s="309" t="s">
        <v>263</v>
      </c>
      <c r="M116" s="309" t="s">
        <v>264</v>
      </c>
      <c r="N116" s="309" t="s">
        <v>265</v>
      </c>
      <c r="O116" s="309" t="s">
        <v>266</v>
      </c>
      <c r="P116" s="309" t="s">
        <v>267</v>
      </c>
      <c r="R116" s="306" t="s">
        <v>272</v>
      </c>
      <c r="S116" s="306">
        <f>IF(R116="Y",8000,0)</f>
        <v>8000</v>
      </c>
    </row>
    <row r="117" spans="2:19">
      <c r="B117" s="307" t="s">
        <v>430</v>
      </c>
      <c r="C117" s="311">
        <f>SUM(H117:P117)</f>
        <v>104650</v>
      </c>
      <c r="D117" s="396">
        <v>7500</v>
      </c>
      <c r="E117" s="310" t="s">
        <v>271</v>
      </c>
      <c r="F117" s="310">
        <v>0</v>
      </c>
      <c r="G117" s="306">
        <v>0</v>
      </c>
      <c r="H117" s="306">
        <f t="shared" ref="H117:H124" si="7">D117*12</f>
        <v>90000</v>
      </c>
      <c r="I117" s="306">
        <f>G117*50*3.75</f>
        <v>0</v>
      </c>
      <c r="J117" s="306">
        <f t="shared" ref="J117:J131" si="8">MAX(0,(G117-1))*500</f>
        <v>0</v>
      </c>
      <c r="K117" s="306">
        <f t="shared" ref="K117:K131" si="9">IF(E117="E",2500*(1+F117),0)</f>
        <v>0</v>
      </c>
      <c r="L117" s="306">
        <f t="shared" ref="L117:L131" si="10">IF((IF(F117=0,1,IF(F117=1,2,3))),500*(F117+1))</f>
        <v>500</v>
      </c>
      <c r="M117" s="306">
        <f>500</f>
        <v>500</v>
      </c>
      <c r="N117" s="306">
        <f t="shared" ref="N117:N131" si="11">IF(E117="e",D117*3,0)</f>
        <v>0</v>
      </c>
      <c r="O117" s="306">
        <f t="shared" ref="O117:O141" si="12">IF(E117="s",11%*(H117+N117),2%*(MIN(H117+N117,45000*12/3.75)))</f>
        <v>9900</v>
      </c>
      <c r="P117" s="306">
        <f t="shared" ref="P117:P141" si="13">0.5*D117</f>
        <v>3750</v>
      </c>
      <c r="R117" s="306" t="s">
        <v>272</v>
      </c>
      <c r="S117" s="306">
        <f t="shared" ref="S117:S122" si="14">IF(R117="Y",8000,0)</f>
        <v>8000</v>
      </c>
    </row>
    <row r="118" spans="2:19">
      <c r="B118" s="307" t="s">
        <v>431</v>
      </c>
      <c r="C118" s="311">
        <f>SUM(H118:P118)</f>
        <v>139200</v>
      </c>
      <c r="D118" s="396">
        <v>10000</v>
      </c>
      <c r="E118" s="310" t="s">
        <v>271</v>
      </c>
      <c r="F118" s="310">
        <v>0</v>
      </c>
      <c r="G118" s="306">
        <v>0</v>
      </c>
      <c r="H118" s="306">
        <f t="shared" si="7"/>
        <v>120000</v>
      </c>
      <c r="I118" s="306">
        <f t="shared" ref="I118:I124" si="15">G118*50*3.75</f>
        <v>0</v>
      </c>
      <c r="J118" s="306">
        <f t="shared" si="8"/>
        <v>0</v>
      </c>
      <c r="K118" s="306">
        <f t="shared" si="9"/>
        <v>0</v>
      </c>
      <c r="L118" s="306">
        <f t="shared" si="10"/>
        <v>500</v>
      </c>
      <c r="M118" s="306">
        <f>500</f>
        <v>500</v>
      </c>
      <c r="N118" s="306">
        <f t="shared" si="11"/>
        <v>0</v>
      </c>
      <c r="O118" s="306">
        <f t="shared" si="12"/>
        <v>13200</v>
      </c>
      <c r="P118" s="306">
        <f t="shared" si="13"/>
        <v>5000</v>
      </c>
      <c r="R118" s="306" t="s">
        <v>272</v>
      </c>
      <c r="S118" s="306">
        <f t="shared" si="14"/>
        <v>8000</v>
      </c>
    </row>
    <row r="119" spans="2:19">
      <c r="B119" s="307" t="s">
        <v>490</v>
      </c>
      <c r="C119" s="311">
        <f t="shared" ref="C119:C143" si="16">SUM(H119:P119)</f>
        <v>90830</v>
      </c>
      <c r="D119" s="396">
        <v>6500</v>
      </c>
      <c r="E119" s="310" t="s">
        <v>271</v>
      </c>
      <c r="F119" s="310">
        <v>0</v>
      </c>
      <c r="G119" s="306">
        <v>0</v>
      </c>
      <c r="H119" s="306">
        <f t="shared" si="7"/>
        <v>78000</v>
      </c>
      <c r="I119" s="306">
        <f t="shared" si="15"/>
        <v>0</v>
      </c>
      <c r="J119" s="306">
        <f t="shared" si="8"/>
        <v>0</v>
      </c>
      <c r="K119" s="306">
        <f t="shared" si="9"/>
        <v>0</v>
      </c>
      <c r="L119" s="306">
        <f t="shared" si="10"/>
        <v>500</v>
      </c>
      <c r="M119" s="306">
        <f>500</f>
        <v>500</v>
      </c>
      <c r="N119" s="306">
        <f t="shared" si="11"/>
        <v>0</v>
      </c>
      <c r="O119" s="306">
        <f t="shared" si="12"/>
        <v>8580</v>
      </c>
      <c r="P119" s="306">
        <f t="shared" si="13"/>
        <v>3250</v>
      </c>
      <c r="R119" s="306" t="s">
        <v>272</v>
      </c>
      <c r="S119" s="306">
        <f t="shared" si="14"/>
        <v>8000</v>
      </c>
    </row>
    <row r="120" spans="2:19">
      <c r="B120" s="307" t="s">
        <v>491</v>
      </c>
      <c r="C120" s="311">
        <f t="shared" si="16"/>
        <v>139200</v>
      </c>
      <c r="D120" s="396">
        <v>10000</v>
      </c>
      <c r="E120" s="310" t="s">
        <v>271</v>
      </c>
      <c r="F120" s="310">
        <v>0</v>
      </c>
      <c r="G120" s="306">
        <v>0</v>
      </c>
      <c r="H120" s="306">
        <f t="shared" si="7"/>
        <v>120000</v>
      </c>
      <c r="I120" s="306">
        <f t="shared" si="15"/>
        <v>0</v>
      </c>
      <c r="J120" s="306">
        <f t="shared" si="8"/>
        <v>0</v>
      </c>
      <c r="K120" s="306">
        <f t="shared" si="9"/>
        <v>0</v>
      </c>
      <c r="L120" s="306">
        <f t="shared" si="10"/>
        <v>500</v>
      </c>
      <c r="M120" s="306">
        <f>500</f>
        <v>500</v>
      </c>
      <c r="N120" s="306">
        <f t="shared" si="11"/>
        <v>0</v>
      </c>
      <c r="O120" s="306">
        <f t="shared" si="12"/>
        <v>13200</v>
      </c>
      <c r="P120" s="306">
        <f t="shared" si="13"/>
        <v>5000</v>
      </c>
      <c r="R120" s="306" t="s">
        <v>272</v>
      </c>
      <c r="S120" s="306">
        <f t="shared" si="14"/>
        <v>8000</v>
      </c>
    </row>
    <row r="121" spans="2:19">
      <c r="B121" s="307" t="s">
        <v>487</v>
      </c>
      <c r="C121" s="311">
        <f t="shared" si="16"/>
        <v>208300</v>
      </c>
      <c r="D121" s="396">
        <v>15000</v>
      </c>
      <c r="E121" s="310" t="s">
        <v>271</v>
      </c>
      <c r="F121" s="310">
        <v>0</v>
      </c>
      <c r="G121" s="306">
        <v>0</v>
      </c>
      <c r="H121" s="306">
        <f t="shared" si="7"/>
        <v>180000</v>
      </c>
      <c r="I121" s="306">
        <f t="shared" si="15"/>
        <v>0</v>
      </c>
      <c r="J121" s="306">
        <f t="shared" si="8"/>
        <v>0</v>
      </c>
      <c r="K121" s="306">
        <f t="shared" si="9"/>
        <v>0</v>
      </c>
      <c r="L121" s="306">
        <f t="shared" si="10"/>
        <v>500</v>
      </c>
      <c r="M121" s="306">
        <f>500</f>
        <v>500</v>
      </c>
      <c r="N121" s="306">
        <f t="shared" si="11"/>
        <v>0</v>
      </c>
      <c r="O121" s="306">
        <f t="shared" si="12"/>
        <v>19800</v>
      </c>
      <c r="P121" s="306">
        <f t="shared" si="13"/>
        <v>7500</v>
      </c>
      <c r="R121" s="306" t="s">
        <v>272</v>
      </c>
      <c r="S121" s="306">
        <f t="shared" si="14"/>
        <v>8000</v>
      </c>
    </row>
    <row r="122" spans="2:19">
      <c r="B122" s="307" t="s">
        <v>288</v>
      </c>
      <c r="C122" s="311">
        <f t="shared" si="16"/>
        <v>139200</v>
      </c>
      <c r="D122" s="396">
        <v>10000</v>
      </c>
      <c r="E122" s="310" t="s">
        <v>271</v>
      </c>
      <c r="F122" s="310">
        <v>0</v>
      </c>
      <c r="G122" s="306">
        <v>0</v>
      </c>
      <c r="H122" s="306">
        <f t="shared" si="7"/>
        <v>120000</v>
      </c>
      <c r="I122" s="306">
        <f t="shared" si="15"/>
        <v>0</v>
      </c>
      <c r="J122" s="306">
        <f t="shared" si="8"/>
        <v>0</v>
      </c>
      <c r="K122" s="306">
        <f t="shared" si="9"/>
        <v>0</v>
      </c>
      <c r="L122" s="306">
        <f t="shared" si="10"/>
        <v>500</v>
      </c>
      <c r="M122" s="306">
        <f>500</f>
        <v>500</v>
      </c>
      <c r="N122" s="306">
        <f t="shared" si="11"/>
        <v>0</v>
      </c>
      <c r="O122" s="306">
        <f t="shared" si="12"/>
        <v>13200</v>
      </c>
      <c r="P122" s="306">
        <f t="shared" si="13"/>
        <v>5000</v>
      </c>
      <c r="R122" s="306" t="s">
        <v>272</v>
      </c>
      <c r="S122" s="306">
        <f t="shared" si="14"/>
        <v>8000</v>
      </c>
    </row>
    <row r="123" spans="2:19">
      <c r="B123" s="307" t="s">
        <v>390</v>
      </c>
      <c r="C123" s="311">
        <f t="shared" si="16"/>
        <v>238880</v>
      </c>
      <c r="D123" s="396">
        <v>15000</v>
      </c>
      <c r="E123" s="310" t="s">
        <v>391</v>
      </c>
      <c r="F123" s="310">
        <v>0</v>
      </c>
      <c r="G123" s="306">
        <v>0</v>
      </c>
      <c r="H123" s="306">
        <f t="shared" si="7"/>
        <v>180000</v>
      </c>
      <c r="I123" s="306">
        <f>G123*50*3.75</f>
        <v>0</v>
      </c>
      <c r="J123" s="306">
        <f>MAX(0,(G123-1))*500</f>
        <v>0</v>
      </c>
      <c r="K123" s="306">
        <f>IF(E123="E",2500*(1+F123),0)</f>
        <v>2500</v>
      </c>
      <c r="L123" s="306">
        <f>IF((IF(F123=0,1,IF(F123=1,2,3))),500*(F123+1))</f>
        <v>500</v>
      </c>
      <c r="M123" s="306">
        <f>500</f>
        <v>500</v>
      </c>
      <c r="N123" s="306">
        <f>IF(E123="e",D123*3,0)</f>
        <v>45000</v>
      </c>
      <c r="O123" s="306">
        <f>IF(E123="s",11%*(H123+N123),2%*(MIN(H123+N123,45000*12/3.75)))</f>
        <v>2880</v>
      </c>
      <c r="P123" s="306">
        <f t="shared" si="13"/>
        <v>7500</v>
      </c>
      <c r="R123" s="306" t="s">
        <v>272</v>
      </c>
      <c r="S123" s="306">
        <f>IF(R123="Y",8000,0)</f>
        <v>8000</v>
      </c>
    </row>
    <row r="124" spans="2:19">
      <c r="B124" s="307" t="s">
        <v>273</v>
      </c>
      <c r="C124" s="311">
        <f t="shared" si="16"/>
        <v>139200</v>
      </c>
      <c r="D124" s="396">
        <v>10000</v>
      </c>
      <c r="E124" s="310" t="s">
        <v>271</v>
      </c>
      <c r="F124" s="310">
        <v>0</v>
      </c>
      <c r="G124" s="306">
        <v>0</v>
      </c>
      <c r="H124" s="306">
        <f t="shared" si="7"/>
        <v>120000</v>
      </c>
      <c r="I124" s="306">
        <f t="shared" si="15"/>
        <v>0</v>
      </c>
      <c r="J124" s="306">
        <f t="shared" si="8"/>
        <v>0</v>
      </c>
      <c r="K124" s="306">
        <f t="shared" si="9"/>
        <v>0</v>
      </c>
      <c r="L124" s="306">
        <f t="shared" si="10"/>
        <v>500</v>
      </c>
      <c r="M124" s="306">
        <f>500</f>
        <v>500</v>
      </c>
      <c r="N124" s="306">
        <f t="shared" si="11"/>
        <v>0</v>
      </c>
      <c r="O124" s="306">
        <f t="shared" si="12"/>
        <v>13200</v>
      </c>
      <c r="P124" s="306">
        <f t="shared" si="13"/>
        <v>5000</v>
      </c>
      <c r="R124" s="306" t="s">
        <v>272</v>
      </c>
      <c r="S124" s="306">
        <f t="shared" ref="S124:S140" si="17">IF(R124="Y",8000,0)</f>
        <v>8000</v>
      </c>
    </row>
    <row r="125" spans="2:19">
      <c r="B125" s="307" t="s">
        <v>279</v>
      </c>
      <c r="C125" s="311">
        <f t="shared" si="16"/>
        <v>415600</v>
      </c>
      <c r="D125" s="396">
        <v>30000</v>
      </c>
      <c r="E125" s="310" t="s">
        <v>271</v>
      </c>
      <c r="F125" s="310">
        <v>0</v>
      </c>
      <c r="G125" s="306">
        <v>0</v>
      </c>
      <c r="H125" s="306">
        <f t="shared" ref="H125:H143" si="18">D125*12</f>
        <v>360000</v>
      </c>
      <c r="I125" s="306">
        <f t="shared" ref="I125:I143" si="19">G125*50*3.75</f>
        <v>0</v>
      </c>
      <c r="J125" s="306">
        <f t="shared" si="8"/>
        <v>0</v>
      </c>
      <c r="K125" s="306">
        <f t="shared" si="9"/>
        <v>0</v>
      </c>
      <c r="L125" s="306">
        <f t="shared" si="10"/>
        <v>500</v>
      </c>
      <c r="M125" s="306">
        <f>500</f>
        <v>500</v>
      </c>
      <c r="N125" s="306">
        <f t="shared" si="11"/>
        <v>0</v>
      </c>
      <c r="O125" s="306">
        <f t="shared" si="12"/>
        <v>39600</v>
      </c>
      <c r="P125" s="306">
        <f t="shared" si="13"/>
        <v>15000</v>
      </c>
      <c r="R125" s="306" t="s">
        <v>272</v>
      </c>
      <c r="S125" s="306">
        <f t="shared" si="17"/>
        <v>8000</v>
      </c>
    </row>
    <row r="126" spans="2:19">
      <c r="B126" s="307" t="s">
        <v>292</v>
      </c>
      <c r="C126" s="311">
        <f t="shared" si="16"/>
        <v>346500</v>
      </c>
      <c r="D126" s="396">
        <v>25000</v>
      </c>
      <c r="E126" s="310" t="s">
        <v>271</v>
      </c>
      <c r="F126" s="310">
        <v>0</v>
      </c>
      <c r="G126" s="306">
        <v>0</v>
      </c>
      <c r="H126" s="306">
        <f t="shared" si="18"/>
        <v>300000</v>
      </c>
      <c r="I126" s="306">
        <f t="shared" si="19"/>
        <v>0</v>
      </c>
      <c r="J126" s="306">
        <f t="shared" si="8"/>
        <v>0</v>
      </c>
      <c r="K126" s="306">
        <f t="shared" si="9"/>
        <v>0</v>
      </c>
      <c r="L126" s="306">
        <f t="shared" si="10"/>
        <v>500</v>
      </c>
      <c r="M126" s="306">
        <f>500</f>
        <v>500</v>
      </c>
      <c r="N126" s="306">
        <f t="shared" si="11"/>
        <v>0</v>
      </c>
      <c r="O126" s="306">
        <f t="shared" si="12"/>
        <v>33000</v>
      </c>
      <c r="P126" s="306">
        <f t="shared" si="13"/>
        <v>12500</v>
      </c>
      <c r="R126" s="306" t="s">
        <v>272</v>
      </c>
      <c r="S126" s="306">
        <f t="shared" si="17"/>
        <v>8000</v>
      </c>
    </row>
    <row r="127" spans="2:19">
      <c r="B127" s="307" t="s">
        <v>281</v>
      </c>
      <c r="C127" s="311">
        <f t="shared" si="16"/>
        <v>277400</v>
      </c>
      <c r="D127" s="396">
        <v>20000</v>
      </c>
      <c r="E127" s="310" t="s">
        <v>271</v>
      </c>
      <c r="F127" s="310">
        <v>0</v>
      </c>
      <c r="G127" s="306">
        <v>0</v>
      </c>
      <c r="H127" s="306">
        <f t="shared" si="18"/>
        <v>240000</v>
      </c>
      <c r="I127" s="306">
        <f t="shared" si="19"/>
        <v>0</v>
      </c>
      <c r="J127" s="306">
        <f t="shared" si="8"/>
        <v>0</v>
      </c>
      <c r="K127" s="306">
        <f t="shared" si="9"/>
        <v>0</v>
      </c>
      <c r="L127" s="306">
        <f t="shared" si="10"/>
        <v>500</v>
      </c>
      <c r="M127" s="306">
        <f>500</f>
        <v>500</v>
      </c>
      <c r="N127" s="306">
        <f t="shared" si="11"/>
        <v>0</v>
      </c>
      <c r="O127" s="306">
        <f t="shared" si="12"/>
        <v>26400</v>
      </c>
      <c r="P127" s="306">
        <f t="shared" si="13"/>
        <v>10000</v>
      </c>
      <c r="R127" s="306" t="s">
        <v>272</v>
      </c>
      <c r="S127" s="306">
        <f t="shared" si="17"/>
        <v>8000</v>
      </c>
    </row>
    <row r="128" spans="2:19">
      <c r="B128" s="307" t="s">
        <v>282</v>
      </c>
      <c r="C128" s="311">
        <f t="shared" si="16"/>
        <v>277400</v>
      </c>
      <c r="D128" s="396">
        <v>20000</v>
      </c>
      <c r="E128" s="310" t="s">
        <v>271</v>
      </c>
      <c r="F128" s="310">
        <v>0</v>
      </c>
      <c r="G128" s="306">
        <v>0</v>
      </c>
      <c r="H128" s="306">
        <f t="shared" si="18"/>
        <v>240000</v>
      </c>
      <c r="I128" s="306">
        <f t="shared" si="19"/>
        <v>0</v>
      </c>
      <c r="J128" s="306">
        <f t="shared" si="8"/>
        <v>0</v>
      </c>
      <c r="K128" s="306">
        <f t="shared" si="9"/>
        <v>0</v>
      </c>
      <c r="L128" s="306">
        <f t="shared" si="10"/>
        <v>500</v>
      </c>
      <c r="M128" s="306">
        <f>500</f>
        <v>500</v>
      </c>
      <c r="N128" s="306">
        <f t="shared" si="11"/>
        <v>0</v>
      </c>
      <c r="O128" s="306">
        <f t="shared" si="12"/>
        <v>26400</v>
      </c>
      <c r="P128" s="306">
        <f t="shared" si="13"/>
        <v>10000</v>
      </c>
      <c r="R128" s="306" t="s">
        <v>272</v>
      </c>
      <c r="S128" s="306">
        <f t="shared" si="17"/>
        <v>8000</v>
      </c>
    </row>
    <row r="129" spans="2:19">
      <c r="B129" s="307" t="s">
        <v>274</v>
      </c>
      <c r="C129" s="311">
        <f t="shared" si="16"/>
        <v>104650</v>
      </c>
      <c r="D129" s="396">
        <v>7500</v>
      </c>
      <c r="E129" s="310" t="s">
        <v>271</v>
      </c>
      <c r="F129" s="310">
        <v>0</v>
      </c>
      <c r="G129" s="306">
        <v>0</v>
      </c>
      <c r="H129" s="306">
        <f t="shared" si="18"/>
        <v>90000</v>
      </c>
      <c r="I129" s="306">
        <f t="shared" si="19"/>
        <v>0</v>
      </c>
      <c r="J129" s="306">
        <f t="shared" si="8"/>
        <v>0</v>
      </c>
      <c r="K129" s="306">
        <f t="shared" si="9"/>
        <v>0</v>
      </c>
      <c r="L129" s="306">
        <f t="shared" si="10"/>
        <v>500</v>
      </c>
      <c r="M129" s="306">
        <f>500</f>
        <v>500</v>
      </c>
      <c r="N129" s="306">
        <f t="shared" si="11"/>
        <v>0</v>
      </c>
      <c r="O129" s="306">
        <f t="shared" si="12"/>
        <v>9900</v>
      </c>
      <c r="P129" s="306">
        <f t="shared" si="13"/>
        <v>3750</v>
      </c>
      <c r="R129" s="306" t="s">
        <v>272</v>
      </c>
      <c r="S129" s="306">
        <f t="shared" si="17"/>
        <v>8000</v>
      </c>
    </row>
    <row r="130" spans="2:19">
      <c r="B130" s="307" t="s">
        <v>291</v>
      </c>
      <c r="C130" s="311">
        <f t="shared" si="16"/>
        <v>104650</v>
      </c>
      <c r="D130" s="396">
        <v>7500</v>
      </c>
      <c r="E130" s="310" t="s">
        <v>271</v>
      </c>
      <c r="F130" s="310">
        <v>0</v>
      </c>
      <c r="G130" s="306">
        <v>0</v>
      </c>
      <c r="H130" s="306">
        <f t="shared" si="18"/>
        <v>90000</v>
      </c>
      <c r="I130" s="306">
        <f t="shared" si="19"/>
        <v>0</v>
      </c>
      <c r="J130" s="306">
        <f t="shared" si="8"/>
        <v>0</v>
      </c>
      <c r="K130" s="306">
        <f t="shared" si="9"/>
        <v>0</v>
      </c>
      <c r="L130" s="306">
        <f t="shared" si="10"/>
        <v>500</v>
      </c>
      <c r="M130" s="306">
        <f>500</f>
        <v>500</v>
      </c>
      <c r="N130" s="306">
        <f t="shared" si="11"/>
        <v>0</v>
      </c>
      <c r="O130" s="306">
        <f t="shared" si="12"/>
        <v>9900</v>
      </c>
      <c r="P130" s="306">
        <f t="shared" si="13"/>
        <v>3750</v>
      </c>
      <c r="R130" s="306" t="s">
        <v>272</v>
      </c>
      <c r="S130" s="306">
        <f t="shared" si="17"/>
        <v>8000</v>
      </c>
    </row>
    <row r="131" spans="2:19">
      <c r="B131" s="307" t="s">
        <v>270</v>
      </c>
      <c r="C131" s="311">
        <f t="shared" si="16"/>
        <v>166840</v>
      </c>
      <c r="D131" s="396">
        <v>12000</v>
      </c>
      <c r="E131" s="310" t="s">
        <v>271</v>
      </c>
      <c r="F131" s="310">
        <v>0</v>
      </c>
      <c r="G131" s="306">
        <v>0</v>
      </c>
      <c r="H131" s="306">
        <f t="shared" si="18"/>
        <v>144000</v>
      </c>
      <c r="I131" s="306">
        <f t="shared" si="19"/>
        <v>0</v>
      </c>
      <c r="J131" s="306">
        <f t="shared" si="8"/>
        <v>0</v>
      </c>
      <c r="K131" s="306">
        <f t="shared" si="9"/>
        <v>0</v>
      </c>
      <c r="L131" s="306">
        <f t="shared" si="10"/>
        <v>500</v>
      </c>
      <c r="M131" s="306">
        <f>500</f>
        <v>500</v>
      </c>
      <c r="N131" s="306">
        <f t="shared" si="11"/>
        <v>0</v>
      </c>
      <c r="O131" s="306">
        <f t="shared" si="12"/>
        <v>15840</v>
      </c>
      <c r="P131" s="306">
        <f t="shared" si="13"/>
        <v>6000</v>
      </c>
      <c r="R131" s="306" t="s">
        <v>272</v>
      </c>
      <c r="S131" s="306">
        <f>IF(R131="Y",8000,0)</f>
        <v>8000</v>
      </c>
    </row>
    <row r="132" spans="2:19">
      <c r="B132" s="307" t="s">
        <v>354</v>
      </c>
      <c r="C132" s="311">
        <f t="shared" si="16"/>
        <v>83920</v>
      </c>
      <c r="D132" s="396">
        <v>6000</v>
      </c>
      <c r="E132" s="310" t="s">
        <v>271</v>
      </c>
      <c r="F132" s="310">
        <v>0</v>
      </c>
      <c r="G132" s="306">
        <v>0</v>
      </c>
      <c r="H132" s="306">
        <f>D132*12</f>
        <v>72000</v>
      </c>
      <c r="I132" s="306">
        <f>G132*50*3.75</f>
        <v>0</v>
      </c>
      <c r="J132" s="306">
        <f>MAX(0,(G133-1))*500</f>
        <v>0</v>
      </c>
      <c r="K132" s="306">
        <f>IF(E133="E",2500*(1+F133),0)</f>
        <v>0</v>
      </c>
      <c r="L132" s="306">
        <f>IF((IF(F133=0,1,IF(F133=1,2,3))),500*(F133+1))</f>
        <v>500</v>
      </c>
      <c r="M132" s="306">
        <f>500</f>
        <v>500</v>
      </c>
      <c r="N132" s="306">
        <f>IF(E133="e",D133*3,0)</f>
        <v>0</v>
      </c>
      <c r="O132" s="306">
        <f t="shared" si="12"/>
        <v>7920</v>
      </c>
      <c r="P132" s="306">
        <f t="shared" si="13"/>
        <v>3000</v>
      </c>
      <c r="R132" s="306" t="s">
        <v>272</v>
      </c>
      <c r="S132" s="306">
        <f>IF(R132="Y",8000,0)</f>
        <v>8000</v>
      </c>
    </row>
    <row r="133" spans="2:19">
      <c r="B133" s="450" t="s">
        <v>404</v>
      </c>
      <c r="C133" s="311">
        <f t="shared" si="16"/>
        <v>70100</v>
      </c>
      <c r="D133" s="396">
        <v>5000</v>
      </c>
      <c r="E133" s="310" t="s">
        <v>271</v>
      </c>
      <c r="F133" s="310">
        <v>0</v>
      </c>
      <c r="G133" s="306">
        <v>0</v>
      </c>
      <c r="H133" s="306">
        <f>D133*12</f>
        <v>60000</v>
      </c>
      <c r="I133" s="306">
        <f>G133*50*3.75</f>
        <v>0</v>
      </c>
      <c r="J133" s="306">
        <f>MAX(0,(G134-1))*500</f>
        <v>0</v>
      </c>
      <c r="K133" s="306">
        <f>IF(E134="E",2500*(1+F134),0)</f>
        <v>0</v>
      </c>
      <c r="L133" s="306">
        <f>IF((IF(F134=0,1,IF(F134=1,2,3))),500*(F134+1))</f>
        <v>500</v>
      </c>
      <c r="M133" s="306">
        <f>500</f>
        <v>500</v>
      </c>
      <c r="N133" s="306">
        <f>IF(E134="e",D134*3,0)</f>
        <v>0</v>
      </c>
      <c r="O133" s="306">
        <f t="shared" si="12"/>
        <v>6600</v>
      </c>
      <c r="P133" s="306">
        <f t="shared" si="13"/>
        <v>2500</v>
      </c>
      <c r="R133" s="306" t="s">
        <v>272</v>
      </c>
      <c r="S133" s="306">
        <f t="shared" si="17"/>
        <v>8000</v>
      </c>
    </row>
    <row r="134" spans="2:19">
      <c r="B134" s="307" t="s">
        <v>276</v>
      </c>
      <c r="C134" s="311">
        <f t="shared" si="16"/>
        <v>692000</v>
      </c>
      <c r="D134" s="396">
        <v>50000</v>
      </c>
      <c r="E134" s="310" t="s">
        <v>271</v>
      </c>
      <c r="F134" s="310">
        <v>0</v>
      </c>
      <c r="G134" s="306">
        <v>0</v>
      </c>
      <c r="H134" s="306">
        <f t="shared" si="18"/>
        <v>600000</v>
      </c>
      <c r="I134" s="306">
        <f t="shared" si="19"/>
        <v>0</v>
      </c>
      <c r="J134" s="306">
        <f t="shared" ref="J134:J143" si="20">MAX(0,(G134-1))*500</f>
        <v>0</v>
      </c>
      <c r="K134" s="306">
        <f t="shared" ref="K134:K143" si="21">IF(E134="E",2500*(1+F134),0)</f>
        <v>0</v>
      </c>
      <c r="L134" s="306">
        <f t="shared" ref="L134:L143" si="22">IF((IF(F134=0,1,IF(F134=1,2,3))),500*(F134+1))</f>
        <v>500</v>
      </c>
      <c r="M134" s="306">
        <f>500</f>
        <v>500</v>
      </c>
      <c r="N134" s="306">
        <f t="shared" ref="N134:N143" si="23">IF(E134="e",D134*3,0)</f>
        <v>0</v>
      </c>
      <c r="O134" s="306">
        <f t="shared" si="12"/>
        <v>66000</v>
      </c>
      <c r="P134" s="306">
        <f t="shared" si="13"/>
        <v>25000</v>
      </c>
      <c r="R134" s="306" t="s">
        <v>272</v>
      </c>
      <c r="S134" s="306">
        <f t="shared" si="17"/>
        <v>8000</v>
      </c>
    </row>
    <row r="135" spans="2:19">
      <c r="B135" s="307" t="s">
        <v>277</v>
      </c>
      <c r="C135" s="311">
        <f t="shared" si="16"/>
        <v>415600</v>
      </c>
      <c r="D135" s="396">
        <v>30000</v>
      </c>
      <c r="E135" s="310" t="s">
        <v>271</v>
      </c>
      <c r="F135" s="310">
        <v>0</v>
      </c>
      <c r="G135" s="306">
        <v>0</v>
      </c>
      <c r="H135" s="306">
        <f t="shared" si="18"/>
        <v>360000</v>
      </c>
      <c r="I135" s="306">
        <f t="shared" si="19"/>
        <v>0</v>
      </c>
      <c r="J135" s="306">
        <f t="shared" si="20"/>
        <v>0</v>
      </c>
      <c r="K135" s="306">
        <f t="shared" si="21"/>
        <v>0</v>
      </c>
      <c r="L135" s="306">
        <f t="shared" si="22"/>
        <v>500</v>
      </c>
      <c r="M135" s="306">
        <f>500</f>
        <v>500</v>
      </c>
      <c r="N135" s="306">
        <f t="shared" si="23"/>
        <v>0</v>
      </c>
      <c r="O135" s="306">
        <f t="shared" si="12"/>
        <v>39600</v>
      </c>
      <c r="P135" s="306">
        <f t="shared" si="13"/>
        <v>15000</v>
      </c>
      <c r="R135" s="306" t="s">
        <v>272</v>
      </c>
      <c r="S135" s="306">
        <f t="shared" si="17"/>
        <v>8000</v>
      </c>
    </row>
    <row r="136" spans="2:19">
      <c r="B136" s="307" t="s">
        <v>492</v>
      </c>
      <c r="C136" s="311">
        <f t="shared" si="16"/>
        <v>415600</v>
      </c>
      <c r="D136" s="396">
        <v>30000</v>
      </c>
      <c r="E136" s="310" t="s">
        <v>271</v>
      </c>
      <c r="F136" s="310">
        <v>0</v>
      </c>
      <c r="G136" s="306">
        <v>0</v>
      </c>
      <c r="H136" s="306">
        <f t="shared" si="18"/>
        <v>360000</v>
      </c>
      <c r="I136" s="306">
        <f t="shared" si="19"/>
        <v>0</v>
      </c>
      <c r="J136" s="306">
        <f t="shared" si="20"/>
        <v>0</v>
      </c>
      <c r="K136" s="306">
        <f t="shared" si="21"/>
        <v>0</v>
      </c>
      <c r="L136" s="306">
        <f t="shared" si="22"/>
        <v>500</v>
      </c>
      <c r="M136" s="306">
        <f>500</f>
        <v>500</v>
      </c>
      <c r="N136" s="306">
        <f t="shared" si="23"/>
        <v>0</v>
      </c>
      <c r="O136" s="306">
        <f t="shared" si="12"/>
        <v>39600</v>
      </c>
      <c r="P136" s="306">
        <f t="shared" si="13"/>
        <v>15000</v>
      </c>
      <c r="R136" s="306" t="s">
        <v>272</v>
      </c>
      <c r="S136" s="306">
        <f t="shared" si="17"/>
        <v>8000</v>
      </c>
    </row>
    <row r="137" spans="2:19">
      <c r="B137" s="307" t="s">
        <v>278</v>
      </c>
      <c r="C137" s="311">
        <f t="shared" si="16"/>
        <v>415600</v>
      </c>
      <c r="D137" s="396">
        <v>30000</v>
      </c>
      <c r="E137" s="310" t="s">
        <v>271</v>
      </c>
      <c r="F137" s="310">
        <v>0</v>
      </c>
      <c r="G137" s="306">
        <v>0</v>
      </c>
      <c r="H137" s="306">
        <f t="shared" si="18"/>
        <v>360000</v>
      </c>
      <c r="I137" s="306">
        <f t="shared" si="19"/>
        <v>0</v>
      </c>
      <c r="J137" s="306">
        <f t="shared" si="20"/>
        <v>0</v>
      </c>
      <c r="K137" s="306">
        <f t="shared" si="21"/>
        <v>0</v>
      </c>
      <c r="L137" s="306">
        <f t="shared" si="22"/>
        <v>500</v>
      </c>
      <c r="M137" s="306">
        <f>500</f>
        <v>500</v>
      </c>
      <c r="N137" s="306">
        <f t="shared" si="23"/>
        <v>0</v>
      </c>
      <c r="O137" s="306">
        <f t="shared" si="12"/>
        <v>39600</v>
      </c>
      <c r="P137" s="306">
        <f t="shared" si="13"/>
        <v>15000</v>
      </c>
      <c r="R137" s="306" t="s">
        <v>272</v>
      </c>
      <c r="S137" s="306">
        <f t="shared" si="17"/>
        <v>8000</v>
      </c>
    </row>
    <row r="138" spans="2:19">
      <c r="B138" s="307" t="s">
        <v>289</v>
      </c>
      <c r="C138" s="311">
        <f t="shared" si="16"/>
        <v>415600</v>
      </c>
      <c r="D138" s="396">
        <v>30000</v>
      </c>
      <c r="E138" s="310" t="s">
        <v>271</v>
      </c>
      <c r="F138" s="310">
        <v>0</v>
      </c>
      <c r="G138" s="306">
        <v>0</v>
      </c>
      <c r="H138" s="306">
        <f t="shared" si="18"/>
        <v>360000</v>
      </c>
      <c r="I138" s="306">
        <f t="shared" si="19"/>
        <v>0</v>
      </c>
      <c r="J138" s="306">
        <f t="shared" si="20"/>
        <v>0</v>
      </c>
      <c r="K138" s="306">
        <f t="shared" si="21"/>
        <v>0</v>
      </c>
      <c r="L138" s="306">
        <f t="shared" si="22"/>
        <v>500</v>
      </c>
      <c r="M138" s="306">
        <f>500</f>
        <v>500</v>
      </c>
      <c r="N138" s="306">
        <f t="shared" si="23"/>
        <v>0</v>
      </c>
      <c r="O138" s="306">
        <f t="shared" si="12"/>
        <v>39600</v>
      </c>
      <c r="P138" s="306">
        <f t="shared" si="13"/>
        <v>15000</v>
      </c>
      <c r="R138" s="306" t="s">
        <v>272</v>
      </c>
      <c r="S138" s="306">
        <f t="shared" si="17"/>
        <v>8000</v>
      </c>
    </row>
    <row r="139" spans="2:19">
      <c r="B139" s="307" t="s">
        <v>432</v>
      </c>
      <c r="C139" s="311">
        <f t="shared" si="16"/>
        <v>415600</v>
      </c>
      <c r="D139" s="396">
        <v>30000</v>
      </c>
      <c r="E139" s="310" t="s">
        <v>271</v>
      </c>
      <c r="F139" s="310">
        <v>0</v>
      </c>
      <c r="G139" s="306">
        <v>0</v>
      </c>
      <c r="H139" s="306">
        <f t="shared" si="18"/>
        <v>360000</v>
      </c>
      <c r="I139" s="306">
        <f t="shared" si="19"/>
        <v>0</v>
      </c>
      <c r="J139" s="306">
        <f t="shared" si="20"/>
        <v>0</v>
      </c>
      <c r="K139" s="306">
        <f t="shared" si="21"/>
        <v>0</v>
      </c>
      <c r="L139" s="306">
        <f t="shared" si="22"/>
        <v>500</v>
      </c>
      <c r="M139" s="306">
        <f>500</f>
        <v>500</v>
      </c>
      <c r="N139" s="306">
        <f t="shared" si="23"/>
        <v>0</v>
      </c>
      <c r="O139" s="306">
        <f t="shared" si="12"/>
        <v>39600</v>
      </c>
      <c r="P139" s="306">
        <f t="shared" si="13"/>
        <v>15000</v>
      </c>
      <c r="R139" s="306" t="s">
        <v>272</v>
      </c>
      <c r="S139" s="306">
        <f t="shared" si="17"/>
        <v>8000</v>
      </c>
    </row>
    <row r="140" spans="2:19">
      <c r="B140" s="307" t="s">
        <v>280</v>
      </c>
      <c r="C140" s="311">
        <f t="shared" si="16"/>
        <v>208300</v>
      </c>
      <c r="D140" s="396">
        <v>15000</v>
      </c>
      <c r="E140" s="310" t="s">
        <v>271</v>
      </c>
      <c r="F140" s="310">
        <v>0</v>
      </c>
      <c r="G140" s="306">
        <v>0</v>
      </c>
      <c r="H140" s="306">
        <f t="shared" si="18"/>
        <v>180000</v>
      </c>
      <c r="I140" s="306">
        <f t="shared" si="19"/>
        <v>0</v>
      </c>
      <c r="J140" s="306">
        <f t="shared" si="20"/>
        <v>0</v>
      </c>
      <c r="K140" s="306">
        <f t="shared" si="21"/>
        <v>0</v>
      </c>
      <c r="L140" s="306">
        <f t="shared" si="22"/>
        <v>500</v>
      </c>
      <c r="M140" s="306">
        <f>500</f>
        <v>500</v>
      </c>
      <c r="N140" s="306">
        <f t="shared" si="23"/>
        <v>0</v>
      </c>
      <c r="O140" s="306">
        <f t="shared" si="12"/>
        <v>19800</v>
      </c>
      <c r="P140" s="306">
        <f t="shared" si="13"/>
        <v>7500</v>
      </c>
      <c r="R140" s="306" t="s">
        <v>272</v>
      </c>
      <c r="S140" s="306">
        <f t="shared" si="17"/>
        <v>8000</v>
      </c>
    </row>
    <row r="141" spans="2:19">
      <c r="B141" s="307" t="s">
        <v>290</v>
      </c>
      <c r="C141" s="311">
        <f t="shared" si="16"/>
        <v>346500</v>
      </c>
      <c r="D141" s="396">
        <v>25000</v>
      </c>
      <c r="E141" s="310" t="s">
        <v>271</v>
      </c>
      <c r="F141" s="310">
        <v>0</v>
      </c>
      <c r="G141" s="306">
        <v>0</v>
      </c>
      <c r="H141" s="306">
        <f t="shared" si="18"/>
        <v>300000</v>
      </c>
      <c r="I141" s="306">
        <f t="shared" si="19"/>
        <v>0</v>
      </c>
      <c r="J141" s="306">
        <f t="shared" si="20"/>
        <v>0</v>
      </c>
      <c r="K141" s="306">
        <f t="shared" si="21"/>
        <v>0</v>
      </c>
      <c r="L141" s="306">
        <f t="shared" si="22"/>
        <v>500</v>
      </c>
      <c r="M141" s="306">
        <f>500</f>
        <v>500</v>
      </c>
      <c r="N141" s="306">
        <f t="shared" si="23"/>
        <v>0</v>
      </c>
      <c r="O141" s="306">
        <f t="shared" si="12"/>
        <v>33000</v>
      </c>
      <c r="P141" s="306">
        <f t="shared" si="13"/>
        <v>12500</v>
      </c>
    </row>
    <row r="142" spans="2:19">
      <c r="B142" s="307" t="s">
        <v>416</v>
      </c>
      <c r="C142" s="311">
        <f t="shared" si="16"/>
        <v>104650</v>
      </c>
      <c r="D142" s="396">
        <v>7500</v>
      </c>
      <c r="E142" s="310" t="s">
        <v>271</v>
      </c>
      <c r="F142" s="310">
        <v>0</v>
      </c>
      <c r="G142" s="306">
        <v>0</v>
      </c>
      <c r="H142" s="306">
        <f t="shared" si="18"/>
        <v>90000</v>
      </c>
      <c r="I142" s="306">
        <f t="shared" si="19"/>
        <v>0</v>
      </c>
      <c r="J142" s="306">
        <f t="shared" si="20"/>
        <v>0</v>
      </c>
      <c r="K142" s="306">
        <f t="shared" si="21"/>
        <v>0</v>
      </c>
      <c r="L142" s="306">
        <f t="shared" si="22"/>
        <v>500</v>
      </c>
      <c r="M142" s="306">
        <f>500</f>
        <v>500</v>
      </c>
      <c r="N142" s="306">
        <f t="shared" si="23"/>
        <v>0</v>
      </c>
      <c r="O142" s="306">
        <f>IF(E142="s",11%*(H142+N142),2%*(MIN(H142+N142,45000*12/3.75)))</f>
        <v>9900</v>
      </c>
      <c r="P142" s="306">
        <f>0.5*D142</f>
        <v>3750</v>
      </c>
    </row>
    <row r="143" spans="2:19">
      <c r="B143" s="307" t="s">
        <v>457</v>
      </c>
      <c r="C143" s="311">
        <f t="shared" si="16"/>
        <v>104650</v>
      </c>
      <c r="D143" s="396">
        <v>7500</v>
      </c>
      <c r="E143" s="310" t="s">
        <v>271</v>
      </c>
      <c r="F143" s="310">
        <v>0</v>
      </c>
      <c r="G143" s="306">
        <v>0</v>
      </c>
      <c r="H143" s="306">
        <f t="shared" si="18"/>
        <v>90000</v>
      </c>
      <c r="I143" s="306">
        <f t="shared" si="19"/>
        <v>0</v>
      </c>
      <c r="J143" s="306">
        <f t="shared" si="20"/>
        <v>0</v>
      </c>
      <c r="K143" s="306">
        <f t="shared" si="21"/>
        <v>0</v>
      </c>
      <c r="L143" s="306">
        <f t="shared" si="22"/>
        <v>500</v>
      </c>
      <c r="M143" s="306">
        <f>500</f>
        <v>500</v>
      </c>
      <c r="N143" s="306">
        <f t="shared" si="23"/>
        <v>0</v>
      </c>
      <c r="O143" s="306">
        <f>IF(E143="s",11%*(H143+N143),2%*(MIN(H143+N143,45000*12/3.75)))</f>
        <v>9900</v>
      </c>
      <c r="P143" s="306">
        <f>0.5*D143</f>
        <v>3750</v>
      </c>
    </row>
  </sheetData>
  <pageMargins left="0.7" right="0.7" top="0.75" bottom="0.75" header="0.3" footer="0.3"/>
  <pageSetup paperSize="9" scale="56" fitToHeight="6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18"/>
  <sheetViews>
    <sheetView workbookViewId="0">
      <selection activeCell="A7" sqref="A7"/>
    </sheetView>
  </sheetViews>
  <sheetFormatPr defaultRowHeight="12.75"/>
  <cols>
    <col min="1" max="1" width="18.28515625" style="307" customWidth="1"/>
    <col min="2" max="2" width="9.140625" style="212"/>
    <col min="3" max="3" width="45.42578125" style="212" customWidth="1"/>
    <col min="4" max="4" width="41.85546875" style="212" hidden="1" customWidth="1"/>
    <col min="5" max="5" width="18.28515625" style="212" bestFit="1" customWidth="1"/>
    <col min="6" max="6" width="17.85546875" style="212" bestFit="1" customWidth="1"/>
    <col min="7" max="7" width="22.7109375" style="212" customWidth="1"/>
    <col min="8" max="8" width="20.7109375" style="212" customWidth="1"/>
    <col min="9" max="9" width="20.28515625" style="212" customWidth="1"/>
    <col min="10" max="16384" width="9.140625" style="212"/>
  </cols>
  <sheetData>
    <row r="1" spans="1:9" ht="38.25" customHeight="1" thickBot="1">
      <c r="A1" s="9"/>
      <c r="B1" s="67" t="str">
        <f>Salaries!B1</f>
        <v>Sample Company</v>
      </c>
      <c r="C1" s="67"/>
      <c r="D1" s="67"/>
      <c r="E1" s="67"/>
      <c r="F1" s="67"/>
      <c r="G1" s="67"/>
      <c r="H1" s="86"/>
      <c r="I1" s="86" t="str">
        <f>"Exhibit "&amp;_exh16</f>
        <v>Exhibit 16</v>
      </c>
    </row>
    <row r="2" spans="1:9" ht="18.75">
      <c r="A2" s="9"/>
      <c r="B2" s="213" t="str">
        <f>Salaries!B2</f>
        <v>Marine Operations Services</v>
      </c>
      <c r="C2" s="214"/>
      <c r="D2" s="214"/>
      <c r="E2" s="214"/>
      <c r="F2" s="214"/>
      <c r="G2" s="214"/>
      <c r="H2" s="215"/>
      <c r="I2" s="215">
        <f ca="1">IF(date_toggle=1,run_date,"")</f>
        <v>39918</v>
      </c>
    </row>
    <row r="3" spans="1:9" ht="18.75">
      <c r="A3" s="65"/>
      <c r="B3" s="65" t="s">
        <v>224</v>
      </c>
      <c r="C3" s="214"/>
      <c r="D3" s="214"/>
      <c r="E3" s="214"/>
      <c r="F3" s="214"/>
      <c r="G3" s="214"/>
      <c r="H3" s="216"/>
      <c r="I3" s="216">
        <f ca="1">IF(time_toggle=1,run_time,"")</f>
        <v>39918.566740393515</v>
      </c>
    </row>
    <row r="4" spans="1:9" ht="15.75">
      <c r="A4" s="65"/>
      <c r="B4" s="65" t="str">
        <f>curr</f>
        <v>(in US Dollars)</v>
      </c>
      <c r="C4" s="214"/>
      <c r="D4" s="214"/>
      <c r="E4" s="214"/>
      <c r="F4" s="214"/>
      <c r="G4" s="214"/>
      <c r="H4" s="214"/>
      <c r="I4" s="214"/>
    </row>
    <row r="5" spans="1:9" ht="15.75">
      <c r="A5" s="65"/>
    </row>
    <row r="6" spans="1:9" ht="15.75">
      <c r="A6" s="65"/>
    </row>
    <row r="7" spans="1:9" ht="15.75">
      <c r="A7" s="65"/>
      <c r="E7" s="264">
        <v>2009</v>
      </c>
      <c r="F7" s="264">
        <f>E7+1</f>
        <v>2010</v>
      </c>
      <c r="G7" s="264">
        <f>F7+1</f>
        <v>2011</v>
      </c>
      <c r="H7" s="264">
        <f>G7+1</f>
        <v>2012</v>
      </c>
      <c r="I7" s="264">
        <f>H7+1</f>
        <v>2013</v>
      </c>
    </row>
    <row r="8" spans="1:9">
      <c r="C8" s="258" t="s">
        <v>225</v>
      </c>
      <c r="D8" s="259"/>
      <c r="E8" s="260"/>
      <c r="F8" s="260"/>
      <c r="G8" s="260"/>
      <c r="H8" s="260"/>
      <c r="I8" s="260"/>
    </row>
    <row r="9" spans="1:9">
      <c r="C9" s="261" t="s">
        <v>226</v>
      </c>
      <c r="D9" s="259" t="s">
        <v>227</v>
      </c>
      <c r="E9" s="262">
        <f>Balancesheet!E21/Balancesheet!E29</f>
        <v>2.4799762927747744</v>
      </c>
      <c r="F9" s="262">
        <f>Balancesheet!F21/Balancesheet!F29</f>
        <v>3.2697190954028525</v>
      </c>
      <c r="G9" s="262">
        <f>Balancesheet!G21/Balancesheet!G29</f>
        <v>4.5599370163938309</v>
      </c>
      <c r="H9" s="262">
        <f>Balancesheet!H21/Balancesheet!H29</f>
        <v>4.378528046500386</v>
      </c>
      <c r="I9" s="262">
        <f>Balancesheet!I21/Balancesheet!I29</f>
        <v>5.0952965605285536</v>
      </c>
    </row>
    <row r="10" spans="1:9">
      <c r="C10" s="261" t="s">
        <v>228</v>
      </c>
      <c r="D10" s="259" t="s">
        <v>229</v>
      </c>
      <c r="E10" s="262">
        <f>(Balancesheet!E21-Balancesheet!E17)/Balancesheet!E29</f>
        <v>2.2976814822864977</v>
      </c>
      <c r="F10" s="262">
        <f>(Balancesheet!F21-Balancesheet!F17)/Balancesheet!F29</f>
        <v>3.0831651604589907</v>
      </c>
      <c r="G10" s="262">
        <f>(Balancesheet!G21-Balancesheet!G17)/Balancesheet!G29</f>
        <v>4.3919086593678189</v>
      </c>
      <c r="H10" s="262">
        <f>(Balancesheet!H21-Balancesheet!H17)/Balancesheet!H29</f>
        <v>4.2160835933458944</v>
      </c>
      <c r="I10" s="262">
        <f>(Balancesheet!I21-Balancesheet!I17)/Balancesheet!I29</f>
        <v>4.9433753871297652</v>
      </c>
    </row>
    <row r="11" spans="1:9">
      <c r="C11" s="258" t="s">
        <v>230</v>
      </c>
      <c r="D11" s="259"/>
      <c r="E11" s="259"/>
      <c r="F11" s="259"/>
      <c r="G11" s="259"/>
      <c r="H11" s="259"/>
      <c r="I11" s="259"/>
    </row>
    <row r="12" spans="1:9">
      <c r="C12" s="261" t="s">
        <v>231</v>
      </c>
      <c r="D12" s="259" t="s">
        <v>232</v>
      </c>
      <c r="E12" s="263">
        <f>'Revenue Aggregate, GrossMargin'!C51</f>
        <v>0.64684252084327798</v>
      </c>
      <c r="F12" s="263">
        <f>'Revenue Aggregate, GrossMargin'!D51</f>
        <v>0.61754254806402009</v>
      </c>
      <c r="G12" s="263">
        <f>'Revenue Aggregate, GrossMargin'!E51</f>
        <v>0.63014580483706106</v>
      </c>
      <c r="H12" s="263">
        <f>'Revenue Aggregate, GrossMargin'!F51</f>
        <v>0.64407957113482994</v>
      </c>
      <c r="I12" s="263">
        <f>'Revenue Aggregate, GrossMargin'!G51</f>
        <v>0.6520844600519301</v>
      </c>
    </row>
    <row r="13" spans="1:9">
      <c r="C13" s="261" t="s">
        <v>233</v>
      </c>
      <c r="D13" s="259" t="s">
        <v>234</v>
      </c>
      <c r="E13" s="263">
        <f>'Revenue Aggregate, GrossMargin'!C52</f>
        <v>0.55772490696324373</v>
      </c>
      <c r="F13" s="263">
        <f>'Revenue Aggregate, GrossMargin'!D52</f>
        <v>0.50207166652456459</v>
      </c>
      <c r="G13" s="263">
        <f>'Revenue Aggregate, GrossMargin'!E52</f>
        <v>0.49647434139344743</v>
      </c>
      <c r="H13" s="263">
        <f>'Revenue Aggregate, GrossMargin'!F52</f>
        <v>0.55131185667425686</v>
      </c>
      <c r="I13" s="263">
        <f>'Revenue Aggregate, GrossMargin'!G52</f>
        <v>0.56028498621900624</v>
      </c>
    </row>
    <row r="15" spans="1:9" s="214" customFormat="1" ht="15.75">
      <c r="A15" s="307"/>
      <c r="B15" s="224" t="str">
        <f>"1. "&amp;IF(toggle_1="Yes",footnote_1,"")</f>
        <v>1. Source of data: Sample Company</v>
      </c>
      <c r="C15" s="224"/>
      <c r="D15" s="224"/>
      <c r="E15" s="224"/>
    </row>
    <row r="16" spans="1:9" s="214" customFormat="1" ht="16.5" thickBot="1">
      <c r="A16" s="307"/>
      <c r="B16" s="253" t="str">
        <f>"2. "&amp;IF(toggle_2="Yes",footnote_2,"")</f>
        <v>2. Some totals may not add due to rounding.  See Statement of Limiting Conditions.</v>
      </c>
      <c r="C16" s="253"/>
      <c r="D16" s="253"/>
      <c r="E16" s="253"/>
      <c r="F16" s="253"/>
      <c r="G16" s="253"/>
      <c r="H16" s="253"/>
      <c r="I16" s="253"/>
    </row>
    <row r="17" spans="1:9" s="214" customFormat="1" ht="23.25">
      <c r="A17" s="307"/>
      <c r="B17" s="71" t="str">
        <f>IF(toggle_3="Yes",footnote_3,"")</f>
        <v>Draft and preliminary.</v>
      </c>
      <c r="C17" s="224"/>
      <c r="D17" s="224"/>
      <c r="E17" s="212"/>
      <c r="F17" s="231"/>
      <c r="G17" s="223"/>
      <c r="H17" s="254"/>
      <c r="I17" s="254"/>
    </row>
    <row r="18" spans="1:9" s="214" customFormat="1" ht="23.25">
      <c r="A18" s="307"/>
      <c r="B18" s="71" t="str">
        <f>IF(toggle_4="Yes",footnote_4,"")</f>
        <v>All data subject to change upon completion of additional analysis.</v>
      </c>
      <c r="C18" s="224"/>
      <c r="D18" s="224"/>
      <c r="E18" s="212"/>
      <c r="F18" s="230"/>
      <c r="H18" s="230"/>
      <c r="I18" s="230" t="str">
        <f>IF(toggle_5="Yes",copyright,"")</f>
        <v>© 2009 by p2w2.  All rights reserved.</v>
      </c>
    </row>
  </sheetData>
  <pageMargins left="0.7" right="0.7" top="0.75" bottom="0.75" header="0.3" footer="0.3"/>
  <pageSetup paperSize="9" scale="86" orientation="landscape" horizontalDpi="300" verticalDpi="300" r:id="rId1"/>
</worksheet>
</file>

<file path=xl/worksheets/sheet1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15"/>
  <sheetViews>
    <sheetView workbookViewId="0">
      <selection activeCell="F18" sqref="F18"/>
    </sheetView>
  </sheetViews>
  <sheetFormatPr defaultRowHeight="12.75"/>
  <cols>
    <col min="1" max="1" width="16.5703125" style="307" customWidth="1"/>
    <col min="2" max="2" width="9.140625" style="212"/>
    <col min="3" max="3" width="45.42578125" style="212" customWidth="1"/>
    <col min="4" max="4" width="41.85546875" style="212" hidden="1" customWidth="1"/>
    <col min="5" max="5" width="18.28515625" style="212" bestFit="1" customWidth="1"/>
    <col min="6" max="6" width="17.85546875" style="212" bestFit="1" customWidth="1"/>
    <col min="7" max="7" width="22.7109375" style="212" customWidth="1"/>
    <col min="8" max="8" width="20.7109375" style="212" customWidth="1"/>
    <col min="9" max="9" width="20.28515625" style="212" customWidth="1"/>
    <col min="10" max="16384" width="9.140625" style="212"/>
  </cols>
  <sheetData>
    <row r="1" spans="1:9" ht="36.75" customHeight="1" thickBot="1">
      <c r="A1" s="9"/>
      <c r="B1" s="67" t="str">
        <f>Salaries!B1</f>
        <v>Sample Company</v>
      </c>
      <c r="C1" s="67"/>
      <c r="D1" s="67"/>
      <c r="E1" s="67"/>
      <c r="F1" s="67"/>
      <c r="G1" s="67"/>
      <c r="H1" s="86"/>
      <c r="I1" s="86" t="str">
        <f>"Exhibit "&amp;_exh17</f>
        <v>Exhibit 17</v>
      </c>
    </row>
    <row r="2" spans="1:9" ht="18.75">
      <c r="A2" s="9"/>
      <c r="B2" s="213" t="str">
        <f>Salaries!B2</f>
        <v>Marine Operations Services</v>
      </c>
      <c r="C2" s="214"/>
      <c r="D2" s="214"/>
      <c r="E2" s="214"/>
      <c r="F2" s="214"/>
      <c r="G2" s="214"/>
      <c r="H2" s="215"/>
      <c r="I2" s="215">
        <f ca="1">IF(date_toggle=1,run_date,"")</f>
        <v>39918</v>
      </c>
    </row>
    <row r="3" spans="1:9" ht="18.75">
      <c r="A3" s="65"/>
      <c r="B3" s="65" t="s">
        <v>410</v>
      </c>
      <c r="C3" s="214"/>
      <c r="D3" s="214"/>
      <c r="E3" s="214"/>
      <c r="F3" s="214"/>
      <c r="G3" s="214"/>
      <c r="H3" s="216"/>
      <c r="I3" s="216">
        <f ca="1">IF(time_toggle=1,run_time,"")</f>
        <v>39918.566740393515</v>
      </c>
    </row>
    <row r="4" spans="1:9" ht="15.75">
      <c r="A4" s="65"/>
      <c r="B4" s="65" t="str">
        <f>curr</f>
        <v>(in US Dollars)</v>
      </c>
      <c r="C4" s="214"/>
      <c r="D4" s="214"/>
      <c r="E4" s="214"/>
      <c r="F4" s="214"/>
      <c r="G4" s="214"/>
      <c r="H4" s="214"/>
      <c r="I4" s="214"/>
    </row>
    <row r="5" spans="1:9" ht="15.75">
      <c r="A5" s="65"/>
    </row>
    <row r="6" spans="1:9" ht="15.75">
      <c r="A6" s="65"/>
    </row>
    <row r="7" spans="1:9" ht="15.75">
      <c r="A7" s="65"/>
      <c r="E7" s="454">
        <v>2009</v>
      </c>
      <c r="F7" s="454">
        <f>E7+1</f>
        <v>2010</v>
      </c>
      <c r="G7" s="454">
        <f>F7+1</f>
        <v>2011</v>
      </c>
      <c r="H7" s="454">
        <f>G7+1</f>
        <v>2012</v>
      </c>
      <c r="I7" s="454">
        <f>H7+1</f>
        <v>2013</v>
      </c>
    </row>
    <row r="8" spans="1:9">
      <c r="C8" s="259" t="s">
        <v>411</v>
      </c>
      <c r="D8" s="259"/>
      <c r="E8" s="452">
        <f>ROUND('Revenue Aggregate, GrossMargin'!C26/Assumptions!D28,0)</f>
        <v>5751</v>
      </c>
      <c r="F8" s="452">
        <f>ROUND('Revenue Aggregate, GrossMargin'!D26/Assumptions!E28,0)</f>
        <v>10473</v>
      </c>
      <c r="G8" s="452">
        <f>ROUND('Revenue Aggregate, GrossMargin'!E26/Assumptions!F28,0)</f>
        <v>13234</v>
      </c>
      <c r="H8" s="452">
        <f>ROUND('Revenue Aggregate, GrossMargin'!F26/Assumptions!G28,0)</f>
        <v>14370</v>
      </c>
      <c r="I8" s="452">
        <f>ROUND('Revenue Aggregate, GrossMargin'!G26/Assumptions!H28,0)</f>
        <v>14798</v>
      </c>
    </row>
    <row r="9" spans="1:9">
      <c r="C9" s="451" t="s">
        <v>459</v>
      </c>
      <c r="D9" s="259" t="s">
        <v>227</v>
      </c>
      <c r="E9" s="453">
        <f>ROUND('Revenue Aggregate, GrossMargin'!C10/Assumptions!D16,0)</f>
        <v>818435</v>
      </c>
      <c r="F9" s="453">
        <f>ROUND('Revenue Aggregate, GrossMargin'!D10/Assumptions!E16,0)</f>
        <v>3273739</v>
      </c>
      <c r="G9" s="453">
        <f>ROUND('Revenue Aggregate, GrossMargin'!E10/Assumptions!F16,0)</f>
        <v>3273739</v>
      </c>
      <c r="H9" s="453">
        <f>ROUND('Revenue Aggregate, GrossMargin'!F10/Assumptions!G16,0)</f>
        <v>3273739</v>
      </c>
      <c r="I9" s="453">
        <f>ROUND('Revenue Aggregate, GrossMargin'!G10/Assumptions!H16,0)</f>
        <v>3273739</v>
      </c>
    </row>
    <row r="10" spans="1:9">
      <c r="C10" s="451" t="s">
        <v>412</v>
      </c>
      <c r="D10" s="259" t="s">
        <v>229</v>
      </c>
      <c r="E10" s="453">
        <f>'Revenue Aggregate, GrossMargin'!C26/Salaries!D57</f>
        <v>933675.53731006151</v>
      </c>
      <c r="F10" s="453">
        <f>'Revenue Aggregate, GrossMargin'!D26/Salaries!E57</f>
        <v>1796435.6452838527</v>
      </c>
      <c r="G10" s="453">
        <f>'Revenue Aggregate, GrossMargin'!E26/Salaries!F57</f>
        <v>1545957.7462922973</v>
      </c>
      <c r="H10" s="453">
        <f>'Revenue Aggregate, GrossMargin'!F26/Salaries!G57</f>
        <v>1906470.4138895739</v>
      </c>
      <c r="I10" s="453">
        <f>'Revenue Aggregate, GrossMargin'!G26/Salaries!H57</f>
        <v>1969062.0457001587</v>
      </c>
    </row>
    <row r="12" spans="1:9" s="214" customFormat="1" ht="15.75">
      <c r="A12" s="307"/>
      <c r="B12" s="224" t="str">
        <f>"1. "&amp;IF(toggle_1="Yes",footnote_1,"")</f>
        <v>1. Source of data: Sample Company</v>
      </c>
      <c r="C12" s="224"/>
      <c r="D12" s="224"/>
      <c r="E12" s="224"/>
    </row>
    <row r="13" spans="1:9" s="214" customFormat="1" ht="16.5" thickBot="1">
      <c r="A13" s="307"/>
      <c r="B13" s="253" t="str">
        <f>"2. "&amp;IF(toggle_2="Yes",footnote_2,"")</f>
        <v>2. Some totals may not add due to rounding.  See Statement of Limiting Conditions.</v>
      </c>
      <c r="C13" s="253"/>
      <c r="D13" s="253"/>
      <c r="E13" s="253"/>
      <c r="F13" s="253"/>
      <c r="G13" s="253"/>
      <c r="H13" s="253"/>
      <c r="I13" s="253"/>
    </row>
    <row r="14" spans="1:9" s="214" customFormat="1" ht="23.25">
      <c r="A14" s="307"/>
      <c r="B14" s="71" t="str">
        <f>IF(toggle_3="Yes",footnote_3,"")</f>
        <v>Draft and preliminary.</v>
      </c>
      <c r="C14" s="224"/>
      <c r="D14" s="224"/>
      <c r="E14" s="212"/>
      <c r="F14" s="231"/>
      <c r="G14" s="223"/>
      <c r="H14" s="254"/>
      <c r="I14" s="254"/>
    </row>
    <row r="15" spans="1:9" s="214" customFormat="1" ht="23.25">
      <c r="A15" s="307"/>
      <c r="B15" s="71" t="str">
        <f>IF(toggle_4="Yes",footnote_4,"")</f>
        <v>All data subject to change upon completion of additional analysis.</v>
      </c>
      <c r="C15" s="224"/>
      <c r="D15" s="224"/>
      <c r="E15" s="212"/>
      <c r="F15" s="230"/>
      <c r="H15" s="230"/>
      <c r="I15" s="230" t="str">
        <f>IF(toggle_5="Yes",copyright,"")</f>
        <v>© 2009 by p2w2.  All rights reserved.</v>
      </c>
    </row>
  </sheetData>
  <pageMargins left="0.7" right="0.7" top="0.75" bottom="0.75" header="0.3" footer="0.3"/>
  <pageSetup paperSize="9" scale="86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B1:J48"/>
  <sheetViews>
    <sheetView zoomScale="90" zoomScaleNormal="90" zoomScaleSheetLayoutView="80" workbookViewId="0">
      <selection activeCell="D11" sqref="D11"/>
    </sheetView>
  </sheetViews>
  <sheetFormatPr defaultRowHeight="12.75"/>
  <cols>
    <col min="1" max="1" width="20.5703125" customWidth="1"/>
    <col min="2" max="2" width="42.42578125" customWidth="1"/>
    <col min="3" max="3" width="4.7109375" customWidth="1"/>
    <col min="4" max="4" width="15.85546875" bestFit="1" customWidth="1"/>
    <col min="5" max="5" width="26.5703125" bestFit="1" customWidth="1"/>
    <col min="6" max="6" width="26.85546875" bestFit="1" customWidth="1"/>
    <col min="7" max="7" width="27" bestFit="1" customWidth="1"/>
    <col min="8" max="8" width="27.7109375" bestFit="1" customWidth="1"/>
    <col min="9" max="9" width="16.42578125" customWidth="1"/>
  </cols>
  <sheetData>
    <row r="1" spans="2:9" s="64" customFormat="1" ht="48" customHeight="1" thickBot="1">
      <c r="B1" s="67" t="str">
        <f>co_name</f>
        <v>Sample Company</v>
      </c>
      <c r="C1" s="67"/>
      <c r="D1" s="67"/>
      <c r="E1" s="67"/>
      <c r="F1" s="67"/>
      <c r="G1" s="67"/>
      <c r="H1" s="86" t="str">
        <f>"Exhibit "&amp;_Exh2</f>
        <v>Exhibit 2</v>
      </c>
    </row>
    <row r="2" spans="2:9" s="9" customFormat="1" ht="18.75">
      <c r="B2" s="66" t="str">
        <f>proj_name</f>
        <v>Marine Operations Services</v>
      </c>
      <c r="H2" s="68">
        <f ca="1">IF(date_toggle=1,run_date,"")</f>
        <v>39918</v>
      </c>
    </row>
    <row r="3" spans="2:9" s="9" customFormat="1" ht="18.75">
      <c r="B3" s="65" t="s">
        <v>106</v>
      </c>
      <c r="H3" s="69">
        <f ca="1">IF(time_toggle=1,run_time,"")</f>
        <v>39918.566740393515</v>
      </c>
    </row>
    <row r="4" spans="2:9" s="9" customFormat="1" ht="15.75">
      <c r="B4" s="390" t="str">
        <f>curr</f>
        <v>(in US Dollars)</v>
      </c>
    </row>
    <row r="7" spans="2:9" ht="15.75">
      <c r="D7" s="85">
        <f>first_year</f>
        <v>2009</v>
      </c>
      <c r="E7" s="85">
        <f>D7+1</f>
        <v>2010</v>
      </c>
      <c r="F7" s="85">
        <f>E7+1</f>
        <v>2011</v>
      </c>
      <c r="G7" s="85">
        <f>F7+1</f>
        <v>2012</v>
      </c>
      <c r="H7" s="85">
        <f>G7+1</f>
        <v>2013</v>
      </c>
    </row>
    <row r="8" spans="2:9">
      <c r="D8" s="283"/>
      <c r="E8" s="283"/>
      <c r="F8" s="283"/>
      <c r="G8" s="283"/>
      <c r="H8" s="283"/>
    </row>
    <row r="9" spans="2:9">
      <c r="B9" s="74" t="s">
        <v>107</v>
      </c>
      <c r="C9" s="75"/>
      <c r="D9" s="179">
        <f>'Revenue Aggregate, GrossMargin'!C26</f>
        <v>36413345.9550924</v>
      </c>
      <c r="E9" s="179">
        <f>'Revenue Aggregate, GrossMargin'!D26</f>
        <v>136529109.04157281</v>
      </c>
      <c r="F9" s="179">
        <f>'Revenue Aggregate, GrossMargin'!E26</f>
        <v>146865985.89776823</v>
      </c>
      <c r="G9" s="179">
        <f>'Revenue Aggregate, GrossMargin'!F26</f>
        <v>306941736.63622141</v>
      </c>
      <c r="H9" s="179">
        <f>'Revenue Aggregate, GrossMargin'!G26</f>
        <v>399719595.27713221</v>
      </c>
      <c r="I9" s="190"/>
    </row>
    <row r="10" spans="2:9">
      <c r="B10" s="74" t="s">
        <v>108</v>
      </c>
      <c r="C10" s="75"/>
      <c r="D10" s="179">
        <f>'Cost of Sales'!D5</f>
        <v>12859645.465162057</v>
      </c>
      <c r="E10" s="179">
        <f>'Cost of Sales'!E5</f>
        <v>52216575.159129485</v>
      </c>
      <c r="F10" s="179">
        <f>'Cost of Sales'!F5</f>
        <v>54319001.011030592</v>
      </c>
      <c r="G10" s="179">
        <f>'Cost of Sales'!G5</f>
        <v>109246834.54018401</v>
      </c>
      <c r="H10" s="179">
        <f>'Cost of Sales'!H5</f>
        <v>139068658.81866741</v>
      </c>
    </row>
    <row r="11" spans="2:9">
      <c r="B11" s="77" t="s">
        <v>109</v>
      </c>
      <c r="C11" s="75"/>
      <c r="D11" s="227">
        <f>D9-D10</f>
        <v>23553700.489930343</v>
      </c>
      <c r="E11" s="227">
        <f>E9-E10</f>
        <v>84312533.882443324</v>
      </c>
      <c r="F11" s="227">
        <f>F9-F10</f>
        <v>92546984.886737645</v>
      </c>
      <c r="G11" s="227">
        <f>G9-G10</f>
        <v>197694902.09603739</v>
      </c>
      <c r="H11" s="227">
        <f>H9-H10</f>
        <v>260650936.4584648</v>
      </c>
      <c r="I11" s="190"/>
    </row>
    <row r="12" spans="2:9">
      <c r="B12" s="339" t="s">
        <v>331</v>
      </c>
      <c r="C12" s="75"/>
      <c r="D12" s="338">
        <f>D10/D9</f>
        <v>0.35315747915672213</v>
      </c>
      <c r="E12" s="338">
        <f>E10/E9</f>
        <v>0.38245745193597985</v>
      </c>
      <c r="F12" s="338">
        <f>F10/F9</f>
        <v>0.36985419516293883</v>
      </c>
      <c r="G12" s="338">
        <f>G10/G9</f>
        <v>0.35592042886517006</v>
      </c>
      <c r="H12" s="338">
        <f>H10/H9</f>
        <v>0.34791553994806984</v>
      </c>
      <c r="I12" s="190"/>
    </row>
    <row r="13" spans="2:9" hidden="1">
      <c r="B13" s="76" t="s">
        <v>110</v>
      </c>
      <c r="C13" s="75"/>
      <c r="D13" s="180">
        <f>'Revenue Aggregate, GrossMargin'!C22</f>
        <v>0</v>
      </c>
      <c r="E13" s="180">
        <f>'Revenue Aggregate, GrossMargin'!D22</f>
        <v>0</v>
      </c>
      <c r="F13" s="180">
        <f>'Revenue Aggregate, GrossMargin'!E22</f>
        <v>0</v>
      </c>
      <c r="G13" s="180">
        <f>'Revenue Aggregate, GrossMargin'!F22</f>
        <v>0</v>
      </c>
      <c r="H13" s="180">
        <f>'Revenue Aggregate, GrossMargin'!G22</f>
        <v>0</v>
      </c>
    </row>
    <row r="14" spans="2:9" hidden="1">
      <c r="B14" s="76" t="s">
        <v>111</v>
      </c>
      <c r="C14" s="75"/>
      <c r="D14" s="180">
        <f>'Revenue Aggregate, GrossMargin'!C21</f>
        <v>0</v>
      </c>
      <c r="E14" s="180">
        <f>'Revenue Aggregate, GrossMargin'!D21</f>
        <v>0</v>
      </c>
      <c r="F14" s="180">
        <f>'Revenue Aggregate, GrossMargin'!E21</f>
        <v>0</v>
      </c>
      <c r="G14" s="180">
        <f>'Revenue Aggregate, GrossMargin'!F21</f>
        <v>0</v>
      </c>
      <c r="H14" s="180">
        <f>'Revenue Aggregate, GrossMargin'!G21</f>
        <v>0</v>
      </c>
    </row>
    <row r="15" spans="2:9" hidden="1">
      <c r="B15" s="76" t="s">
        <v>60</v>
      </c>
      <c r="C15" s="75"/>
      <c r="D15" s="180">
        <f>SUM('Revenue Aggregate, GrossMargin'!C18:C19)</f>
        <v>0</v>
      </c>
      <c r="E15" s="180">
        <f>SUM('Revenue Aggregate, GrossMargin'!D18:D19)</f>
        <v>0</v>
      </c>
      <c r="F15" s="180">
        <f>SUM('Revenue Aggregate, GrossMargin'!E18:E19)</f>
        <v>0</v>
      </c>
      <c r="G15" s="180">
        <f>SUM('Revenue Aggregate, GrossMargin'!F18:F19)</f>
        <v>0</v>
      </c>
      <c r="H15" s="180">
        <f>SUM('Revenue Aggregate, GrossMargin'!G18:G19)</f>
        <v>0</v>
      </c>
    </row>
    <row r="16" spans="2:9" hidden="1">
      <c r="B16" s="76"/>
      <c r="C16" s="75"/>
      <c r="D16" s="181">
        <f>SUM(D13:D15)</f>
        <v>0</v>
      </c>
      <c r="E16" s="181">
        <f>SUM(E13:E15)</f>
        <v>0</v>
      </c>
      <c r="F16" s="181">
        <f>SUM(F13:F15)</f>
        <v>0</v>
      </c>
      <c r="G16" s="181">
        <f>SUM(G13:G15)</f>
        <v>0</v>
      </c>
      <c r="H16" s="181">
        <f>SUM(H13:H15)</f>
        <v>0</v>
      </c>
    </row>
    <row r="17" spans="2:8">
      <c r="B17" s="76" t="s">
        <v>112</v>
      </c>
      <c r="C17" s="75"/>
      <c r="D17" s="179">
        <f>Salaries!D90</f>
        <v>173250</v>
      </c>
      <c r="E17" s="179">
        <f>Salaries!E90</f>
        <v>1005050</v>
      </c>
      <c r="F17" s="179">
        <f>Salaries!F90</f>
        <v>1644552.5</v>
      </c>
      <c r="G17" s="179">
        <f>Salaries!G90</f>
        <v>1953927.625</v>
      </c>
      <c r="H17" s="179">
        <f>Salaries!H90</f>
        <v>2524196.3812500001</v>
      </c>
    </row>
    <row r="18" spans="2:8">
      <c r="B18" s="76" t="s">
        <v>113</v>
      </c>
      <c r="C18" s="75"/>
      <c r="D18" s="179">
        <f>'G &amp; A Expenses'!D23</f>
        <v>1896077.5114817901</v>
      </c>
      <c r="E18" s="179">
        <f>'G &amp; A Expenses'!E23</f>
        <v>11997585.317119136</v>
      </c>
      <c r="F18" s="179">
        <f>'G &amp; A Expenses'!F23</f>
        <v>13675607.593040388</v>
      </c>
      <c r="G18" s="179">
        <f>'G &amp; A Expenses'!G23</f>
        <v>18268497.149698976</v>
      </c>
      <c r="H18" s="179">
        <f>'G &amp; A Expenses'!H23</f>
        <v>21011671.640114721</v>
      </c>
    </row>
    <row r="19" spans="2:8">
      <c r="B19" s="80" t="s">
        <v>198</v>
      </c>
      <c r="C19" s="75"/>
      <c r="D19" s="179">
        <f>SUM('Fixed Assets Sch'!E62:E63)</f>
        <v>636602.41896302463</v>
      </c>
      <c r="E19" s="179">
        <f>SUM('Fixed Assets Sch'!F62:F63)</f>
        <v>636602.41896302463</v>
      </c>
      <c r="F19" s="179">
        <f>SUM('Fixed Assets Sch'!G62:G63)</f>
        <v>636602.41896302463</v>
      </c>
      <c r="G19" s="179">
        <f>SUM('Fixed Assets Sch'!H62:H63)</f>
        <v>636602.41896302463</v>
      </c>
      <c r="H19" s="179">
        <f>SUM('Fixed Assets Sch'!I62:I63)</f>
        <v>636602.41896302463</v>
      </c>
    </row>
    <row r="20" spans="2:8">
      <c r="B20" s="77" t="s">
        <v>114</v>
      </c>
      <c r="C20" s="75"/>
      <c r="D20" s="182">
        <f>D11+D16-SUM(D17:D19)</f>
        <v>20847770.559485529</v>
      </c>
      <c r="E20" s="182">
        <f>E11+E16-SUM(E17:E19)</f>
        <v>70673296.146361157</v>
      </c>
      <c r="F20" s="182">
        <f>F11+F16-SUM(F17:F19)</f>
        <v>76590222.374734238</v>
      </c>
      <c r="G20" s="182">
        <f>G11+G16-SUM(G17:G19)</f>
        <v>176835874.9023754</v>
      </c>
      <c r="H20" s="182">
        <f>H11+H16-SUM(H17:H19)</f>
        <v>236478466.01813704</v>
      </c>
    </row>
    <row r="21" spans="2:8">
      <c r="B21" s="76"/>
      <c r="C21" s="75"/>
      <c r="D21" s="433"/>
      <c r="E21" s="433"/>
      <c r="F21" s="433"/>
      <c r="G21" s="433"/>
      <c r="H21" s="433"/>
    </row>
    <row r="22" spans="2:8">
      <c r="B22" s="76" t="s">
        <v>115</v>
      </c>
      <c r="C22" s="75"/>
      <c r="D22" s="179"/>
      <c r="E22" s="179"/>
      <c r="F22" s="179"/>
      <c r="G22" s="179"/>
      <c r="H22" s="179"/>
    </row>
    <row r="23" spans="2:8">
      <c r="B23" s="76" t="s">
        <v>116</v>
      </c>
      <c r="C23" s="75"/>
      <c r="D23" s="179"/>
      <c r="E23" s="179"/>
      <c r="F23" s="179"/>
      <c r="G23" s="179"/>
      <c r="H23" s="179"/>
    </row>
    <row r="24" spans="2:8">
      <c r="B24" s="77" t="s">
        <v>117</v>
      </c>
      <c r="C24" s="75"/>
      <c r="D24" s="182">
        <f>D20-SUM(D22:D23)</f>
        <v>20847770.559485529</v>
      </c>
      <c r="E24" s="182">
        <f>E20-SUM(E22:E23)</f>
        <v>70673296.146361157</v>
      </c>
      <c r="F24" s="182">
        <f>F20-SUM(F22:F23)</f>
        <v>76590222.374734238</v>
      </c>
      <c r="G24" s="182">
        <f>G20-SUM(G22:G23)</f>
        <v>176835874.9023754</v>
      </c>
      <c r="H24" s="182">
        <f>H20-SUM(H22:H23)</f>
        <v>236478466.01813704</v>
      </c>
    </row>
    <row r="25" spans="2:8">
      <c r="B25" s="76"/>
      <c r="C25" s="75"/>
      <c r="D25" s="183"/>
      <c r="E25" s="183"/>
      <c r="F25" s="183"/>
      <c r="G25" s="183"/>
      <c r="H25" s="183"/>
    </row>
    <row r="26" spans="2:8">
      <c r="B26" s="78" t="s">
        <v>118</v>
      </c>
      <c r="C26" s="75"/>
      <c r="D26" s="185">
        <f>'Loan Schedule'!D20-Preoperative_expenses!D14</f>
        <v>2083.3333333333335</v>
      </c>
      <c r="E26" s="185">
        <f>'Loan Schedule'!E20</f>
        <v>7500</v>
      </c>
      <c r="F26" s="185">
        <f>'Loan Schedule'!F20</f>
        <v>5833.3333333333348</v>
      </c>
      <c r="G26" s="185">
        <f>'Loan Schedule'!G20</f>
        <v>4166.6666666666679</v>
      </c>
      <c r="H26" s="185">
        <f>'Loan Schedule'!H20</f>
        <v>2500.0000000000018</v>
      </c>
    </row>
    <row r="27" spans="2:8">
      <c r="B27" s="78" t="s">
        <v>119</v>
      </c>
      <c r="C27" s="75"/>
      <c r="D27" s="184"/>
      <c r="E27" s="184"/>
      <c r="F27" s="184"/>
      <c r="G27" s="184"/>
      <c r="H27" s="184"/>
    </row>
    <row r="28" spans="2:8">
      <c r="B28" s="77" t="s">
        <v>120</v>
      </c>
      <c r="C28" s="75"/>
      <c r="D28" s="186">
        <f>D24-D26-D27</f>
        <v>20845687.226152197</v>
      </c>
      <c r="E28" s="186">
        <f>E24-E26-E27</f>
        <v>70665796.146361157</v>
      </c>
      <c r="F28" s="186">
        <f>F24-F26-F27</f>
        <v>76584389.041400909</v>
      </c>
      <c r="G28" s="186">
        <f>G24-G26-G27</f>
        <v>176831708.23570874</v>
      </c>
      <c r="H28" s="186">
        <f>H24-H26-H27</f>
        <v>236475966.01813704</v>
      </c>
    </row>
    <row r="29" spans="2:8">
      <c r="B29" s="75"/>
      <c r="C29" s="75"/>
      <c r="D29" s="183"/>
      <c r="E29" s="183"/>
      <c r="F29" s="183"/>
      <c r="G29" s="183"/>
      <c r="H29" s="183"/>
    </row>
    <row r="30" spans="2:8">
      <c r="B30" s="78" t="s">
        <v>515</v>
      </c>
      <c r="C30" s="75"/>
      <c r="D30" s="185">
        <f>'Income Tax'!E72</f>
        <v>537057.24112788052</v>
      </c>
      <c r="E30" s="185">
        <f>'Income Tax'!F72</f>
        <v>2118398.8407446975</v>
      </c>
      <c r="F30" s="185">
        <f>'Income Tax'!G72</f>
        <v>3669195.4197070953</v>
      </c>
      <c r="G30" s="185">
        <f>'Income Tax'!H72</f>
        <v>7611089.5199727453</v>
      </c>
      <c r="H30" s="185">
        <f>'Income Tax'!I72</f>
        <v>12519078.086822247</v>
      </c>
    </row>
    <row r="31" spans="2:8">
      <c r="B31" s="77" t="s">
        <v>197</v>
      </c>
      <c r="C31" s="75"/>
      <c r="D31" s="174">
        <f>D28-D30</f>
        <v>20308629.985024314</v>
      </c>
      <c r="E31" s="174">
        <f>E28-E30</f>
        <v>68547397.305616453</v>
      </c>
      <c r="F31" s="174">
        <f>F28-F30</f>
        <v>72915193.62169382</v>
      </c>
      <c r="G31" s="174">
        <f>G28-G30</f>
        <v>169220618.715736</v>
      </c>
      <c r="H31" s="174">
        <f>H28-H30</f>
        <v>223956887.9313148</v>
      </c>
    </row>
    <row r="32" spans="2:8">
      <c r="B32" s="75"/>
      <c r="C32" s="75"/>
      <c r="D32" s="183"/>
      <c r="E32" s="183"/>
      <c r="F32" s="183"/>
      <c r="G32" s="183"/>
      <c r="H32" s="183"/>
    </row>
    <row r="33" spans="2:10">
      <c r="B33" s="76" t="s">
        <v>121</v>
      </c>
      <c r="C33" s="75"/>
      <c r="D33" s="184">
        <v>0</v>
      </c>
      <c r="E33" s="184">
        <v>0</v>
      </c>
      <c r="F33" s="184">
        <v>0</v>
      </c>
      <c r="G33" s="184">
        <v>0</v>
      </c>
      <c r="H33" s="184">
        <v>0</v>
      </c>
    </row>
    <row r="34" spans="2:10">
      <c r="B34" s="76" t="s">
        <v>122</v>
      </c>
      <c r="C34" s="75"/>
      <c r="D34" s="184">
        <v>0</v>
      </c>
      <c r="E34" s="184">
        <v>0</v>
      </c>
      <c r="F34" s="184">
        <v>0</v>
      </c>
      <c r="G34" s="184">
        <v>0</v>
      </c>
      <c r="H34" s="184">
        <v>0</v>
      </c>
    </row>
    <row r="35" spans="2:10">
      <c r="B35" s="82" t="s">
        <v>123</v>
      </c>
      <c r="C35" s="75"/>
      <c r="D35" s="187">
        <f>SUM(D31:D34)</f>
        <v>20308629.985024314</v>
      </c>
      <c r="E35" s="187">
        <f>SUM(E31:E34)</f>
        <v>68547397.305616453</v>
      </c>
      <c r="F35" s="187">
        <f>SUM(F31:F34)</f>
        <v>72915193.62169382</v>
      </c>
      <c r="G35" s="187">
        <f>SUM(G31:G34)</f>
        <v>169220618.715736</v>
      </c>
      <c r="H35" s="187">
        <f>SUM(H31:H34)</f>
        <v>223956887.9313148</v>
      </c>
    </row>
    <row r="36" spans="2:10">
      <c r="B36" s="76" t="s">
        <v>124</v>
      </c>
      <c r="C36" s="83"/>
      <c r="D36" s="188">
        <f>IF(D35&lt;=0,0,IF(D35&gt;0.1*Balancesheet!E36,0.1*Balancesheet!E36,D35))</f>
        <v>100000</v>
      </c>
      <c r="E36" s="188">
        <f>IF(E35&lt;=0,0,IF(SUM($D$36:D36)&gt;=0.1*Balancesheet!F36,0,IF(0.1*Balancesheet!F36-D36&gt;E35,E35,0.1*Balancesheet!F36-D36)))</f>
        <v>0</v>
      </c>
      <c r="F36" s="188">
        <f>IF(F35&lt;=0,0,IF(SUM($D$36:E36)&gt;=0.1*Balancesheet!G36,0,IF(0.1*Balancesheet!G36-E36&gt;F35,F35,0.1*Balancesheet!G36-E36)))</f>
        <v>0</v>
      </c>
      <c r="G36" s="188">
        <f>IF(G35&lt;=0,0,IF(SUM($D$36:F36)&gt;=0.1*Balancesheet!H36,0,IF(0.1*Balancesheet!H36-F36&gt;G35,G35,0.1*Balancesheet!H36-F36)))</f>
        <v>0</v>
      </c>
      <c r="H36" s="188">
        <f>IF(H35&lt;=0,0,IF(SUM($D$36:G36)&gt;=0.1*Balancesheet!I36,0,IF(0.1*Balancesheet!I36-G36&gt;H35,H35,0.1*Balancesheet!I36-G36)))</f>
        <v>0</v>
      </c>
    </row>
    <row r="37" spans="2:10">
      <c r="B37" s="84" t="s">
        <v>125</v>
      </c>
      <c r="C37" s="83">
        <v>0.2</v>
      </c>
      <c r="D37" s="188">
        <f>IF(D35&lt;0,0,IF((D35-D36)&gt;0,+$C$37*(D35-D36),0))</f>
        <v>4041725.9970048629</v>
      </c>
      <c r="E37" s="188">
        <f>IF(E35&lt;0,0,IF((E35-E36)&gt;0,+$C$37*(E35-E36),0))</f>
        <v>13709479.461123291</v>
      </c>
      <c r="F37" s="188">
        <f>IF(F35&lt;0,0,IF((F35-F36)&gt;0,+$C$37*(F35-F36),0))</f>
        <v>14583038.724338764</v>
      </c>
      <c r="G37" s="188">
        <f>IF(G35&lt;0,0,IF((G35-G36)&gt;0,+$C$37*(G35-G36),0))</f>
        <v>33844123.743147202</v>
      </c>
      <c r="H37" s="188">
        <f>IF(H35&lt;0,0,IF((H35-H36)&gt;0,+$C$37*(H35-H36),0))</f>
        <v>44791377.586262964</v>
      </c>
    </row>
    <row r="38" spans="2:10" ht="13.5" thickBot="1">
      <c r="B38" s="82" t="s">
        <v>126</v>
      </c>
      <c r="C38" s="75"/>
      <c r="D38" s="189">
        <f>D35-D37-D36</f>
        <v>16166903.988019451</v>
      </c>
      <c r="E38" s="189">
        <f>E35-E37-E36</f>
        <v>54837917.844493166</v>
      </c>
      <c r="F38" s="189">
        <f>F35-F37-F36</f>
        <v>58332154.897355057</v>
      </c>
      <c r="G38" s="189">
        <f>G35-G37-G36</f>
        <v>135376494.97258881</v>
      </c>
      <c r="H38" s="189">
        <f>H35-H37-H36</f>
        <v>179165510.34505183</v>
      </c>
      <c r="I38" s="190"/>
      <c r="J38" s="191"/>
    </row>
    <row r="39" spans="2:10" ht="13.5" thickTop="1">
      <c r="F39" s="172"/>
      <c r="G39" s="172"/>
      <c r="H39" s="172"/>
    </row>
    <row r="40" spans="2:10" s="9" customFormat="1" ht="15.75">
      <c r="B40" s="38" t="s">
        <v>379</v>
      </c>
      <c r="C40" s="38"/>
      <c r="D40" s="456">
        <f>D35/D9</f>
        <v>0.55772490696324373</v>
      </c>
      <c r="E40" s="456">
        <f>E35/E9</f>
        <v>0.50207166652456459</v>
      </c>
      <c r="F40" s="456">
        <f>F35/F9</f>
        <v>0.49647434139344743</v>
      </c>
      <c r="G40" s="456">
        <f>G35/G9</f>
        <v>0.55131185667425686</v>
      </c>
      <c r="H40" s="456">
        <f>H35/H9</f>
        <v>0.56028498621900624</v>
      </c>
    </row>
    <row r="41" spans="2:10" s="9" customFormat="1" ht="15.75">
      <c r="B41" s="38" t="str">
        <f>"1. "&amp;IF(toggle_1="Yes",footnote_1,"")</f>
        <v>1. Source of data: Sample Company</v>
      </c>
      <c r="C41" s="38"/>
      <c r="D41" s="38"/>
      <c r="E41" s="38"/>
      <c r="F41" s="38"/>
      <c r="G41" s="126"/>
      <c r="H41" s="126"/>
    </row>
    <row r="42" spans="2:10" s="9" customFormat="1" ht="16.5" thickBot="1">
      <c r="B42" s="70" t="str">
        <f>"2. "&amp;IF(toggle_2="Yes",footnote_2,"")</f>
        <v>2. Some totals may not add due to rounding.  See Statement of Limiting Conditions.</v>
      </c>
      <c r="C42" s="70"/>
      <c r="D42" s="70"/>
      <c r="E42" s="70"/>
      <c r="F42" s="70"/>
      <c r="G42" s="70"/>
      <c r="H42" s="70"/>
      <c r="I42" s="219"/>
    </row>
    <row r="43" spans="2:10" s="9" customFormat="1" ht="23.25">
      <c r="B43" s="71" t="str">
        <f>IF(toggle_3="Yes",footnote_3,"")</f>
        <v>Draft and preliminary.</v>
      </c>
      <c r="C43" s="38"/>
      <c r="D43" s="38"/>
      <c r="E43" s="38"/>
      <c r="F43" s="38"/>
      <c r="G43" s="38"/>
      <c r="H43" s="38"/>
    </row>
    <row r="44" spans="2:10" s="9" customFormat="1" ht="23.25">
      <c r="B44" s="71" t="str">
        <f>IF(toggle_4="Yes",footnote_4,"")</f>
        <v>All data subject to change upon completion of additional analysis.</v>
      </c>
      <c r="C44" s="38"/>
      <c r="D44" s="38"/>
      <c r="E44" s="38"/>
      <c r="F44" s="38"/>
      <c r="G44" s="38"/>
      <c r="H44" s="73" t="str">
        <f>IF(toggle_5="Yes",copyright,"")</f>
        <v>© 2009 by p2w2.  All rights reserved.</v>
      </c>
    </row>
    <row r="48" spans="2:10">
      <c r="G48" s="172"/>
      <c r="H48" s="172"/>
    </row>
  </sheetData>
  <pageMargins left="0.75" right="0.75" top="1" bottom="1" header="0.5" footer="0.5"/>
  <pageSetup paperSize="9" scale="69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J150"/>
  <sheetViews>
    <sheetView workbookViewId="0">
      <selection activeCell="B25" sqref="B25"/>
    </sheetView>
  </sheetViews>
  <sheetFormatPr defaultRowHeight="12.75"/>
  <cols>
    <col min="1" max="1" width="17.28515625" customWidth="1"/>
    <col min="2" max="2" width="54.7109375" style="212" customWidth="1"/>
    <col min="3" max="3" width="9.140625" style="212"/>
    <col min="4" max="7" width="17.28515625" style="212" bestFit="1" customWidth="1"/>
    <col min="8" max="8" width="17.28515625" style="212" customWidth="1"/>
    <col min="9" max="16384" width="9.140625" style="212"/>
  </cols>
  <sheetData>
    <row r="1" spans="2:10" ht="32.25" customHeight="1" thickBot="1">
      <c r="B1" s="67" t="str">
        <f>'Income Statement'!B1</f>
        <v>Sample Company</v>
      </c>
      <c r="C1" s="67"/>
      <c r="D1" s="67"/>
      <c r="E1" s="67"/>
      <c r="F1" s="67"/>
      <c r="G1" s="86"/>
      <c r="H1" s="86" t="str">
        <f>"Exhibit "&amp;_Exh3</f>
        <v>Exhibit 3</v>
      </c>
      <c r="I1" s="64"/>
    </row>
    <row r="2" spans="2:10" ht="18.75">
      <c r="B2" s="213"/>
      <c r="C2" s="214"/>
      <c r="D2" s="214"/>
      <c r="E2" s="214"/>
      <c r="F2" s="214"/>
      <c r="G2" s="215"/>
      <c r="H2" s="215">
        <f ca="1">IF(date_toggle=1,run_date,"")</f>
        <v>39918</v>
      </c>
      <c r="I2" s="214"/>
    </row>
    <row r="3" spans="2:10" ht="18.75">
      <c r="B3" s="65" t="s">
        <v>221</v>
      </c>
      <c r="C3" s="214"/>
      <c r="D3" s="214"/>
      <c r="E3" s="214"/>
      <c r="F3" s="214"/>
      <c r="G3" s="216"/>
      <c r="H3" s="216">
        <f ca="1">IF(time_toggle=1,run_time,"")</f>
        <v>39918.566740393515</v>
      </c>
      <c r="I3" s="214"/>
    </row>
    <row r="4" spans="2:10" ht="15.75">
      <c r="B4" s="65" t="str">
        <f>curr</f>
        <v>(in US Dollars)</v>
      </c>
      <c r="C4" s="214"/>
      <c r="D4" s="214"/>
      <c r="E4" s="214"/>
      <c r="F4" s="214"/>
      <c r="G4" s="214"/>
      <c r="H4" s="214"/>
      <c r="I4" s="214"/>
      <c r="J4" s="214"/>
    </row>
    <row r="7" spans="2:10" ht="15.75">
      <c r="D7" s="251">
        <v>2009</v>
      </c>
      <c r="E7" s="251">
        <f>D7+1</f>
        <v>2010</v>
      </c>
      <c r="F7" s="251">
        <f>E7+1</f>
        <v>2011</v>
      </c>
      <c r="G7" s="251">
        <f>F7+1</f>
        <v>2012</v>
      </c>
      <c r="H7" s="251">
        <f>G7+1</f>
        <v>2013</v>
      </c>
    </row>
    <row r="9" spans="2:10">
      <c r="B9" s="232" t="s">
        <v>220</v>
      </c>
      <c r="D9" s="250">
        <v>0</v>
      </c>
      <c r="E9" s="250">
        <f>D41</f>
        <v>18861491.646047689</v>
      </c>
      <c r="F9" s="250">
        <f>E41</f>
        <v>92729129.476344854</v>
      </c>
      <c r="G9" s="250">
        <f>F41</f>
        <v>157757617.21319219</v>
      </c>
      <c r="H9" s="250">
        <f>G41</f>
        <v>327384983.79141808</v>
      </c>
    </row>
    <row r="10" spans="2:10">
      <c r="B10" s="232" t="s">
        <v>219</v>
      </c>
      <c r="D10" s="250"/>
      <c r="E10" s="250"/>
      <c r="F10" s="250"/>
      <c r="G10" s="250"/>
      <c r="H10" s="250"/>
    </row>
    <row r="11" spans="2:10">
      <c r="B11" s="249" t="s">
        <v>218</v>
      </c>
      <c r="D11" s="235">
        <f>'Income Statement'!D38</f>
        <v>16166903.988019451</v>
      </c>
      <c r="E11" s="235">
        <f>'Income Statement'!E38</f>
        <v>54837917.844493166</v>
      </c>
      <c r="F11" s="235">
        <f>'Income Statement'!F38</f>
        <v>58332154.897355057</v>
      </c>
      <c r="G11" s="235">
        <f>'Income Statement'!G38</f>
        <v>135376494.97258881</v>
      </c>
      <c r="H11" s="235">
        <f>'Income Statement'!H38</f>
        <v>179165510.34505183</v>
      </c>
    </row>
    <row r="12" spans="2:10">
      <c r="B12" s="248" t="s">
        <v>217</v>
      </c>
      <c r="D12" s="238"/>
      <c r="E12" s="238"/>
      <c r="F12" s="238"/>
      <c r="G12" s="238"/>
      <c r="H12" s="238"/>
    </row>
    <row r="13" spans="2:10">
      <c r="B13" s="244" t="s">
        <v>216</v>
      </c>
      <c r="D13" s="238">
        <f>-1*(Balancesheet!E16-Balancesheet!D16)</f>
        <v>0</v>
      </c>
      <c r="E13" s="238">
        <f>-1*(Balancesheet!F16-Balancesheet!E16)</f>
        <v>0</v>
      </c>
      <c r="F13" s="238">
        <f>-1*(Balancesheet!G16-Balancesheet!F16)</f>
        <v>0</v>
      </c>
      <c r="G13" s="238">
        <f>-1*(Balancesheet!H16-Balancesheet!G16)</f>
        <v>0</v>
      </c>
      <c r="H13" s="238">
        <f>-1*(Balancesheet!I16-Balancesheet!H16)</f>
        <v>0</v>
      </c>
    </row>
    <row r="14" spans="2:10">
      <c r="B14" s="244" t="s">
        <v>215</v>
      </c>
      <c r="D14" s="238">
        <f>-Balancesheet!E17+Balancesheet!D17</f>
        <v>-1496438.8748668109</v>
      </c>
      <c r="E14" s="238">
        <f>-Balancesheet!F17+Balancesheet!E17</f>
        <v>-4114346.4282115242</v>
      </c>
      <c r="F14" s="238">
        <f>-Balancesheet!G17+Balancesheet!F17</f>
        <v>-424803.15847378504</v>
      </c>
      <c r="G14" s="238">
        <f>-Balancesheet!H17+Balancesheet!G17</f>
        <v>-6578455.509799446</v>
      </c>
      <c r="H14" s="238">
        <f>-Balancesheet!I17+Balancesheet!H17</f>
        <v>-3812788.7112703063</v>
      </c>
    </row>
    <row r="15" spans="2:10">
      <c r="B15" s="244" t="s">
        <v>214</v>
      </c>
      <c r="D15" s="247">
        <f>Balancesheet!E23-Balancesheet!D23</f>
        <v>2992877.7497336217</v>
      </c>
      <c r="E15" s="247">
        <f>Balancesheet!F23-Balancesheet!E23</f>
        <v>8228692.8564230483</v>
      </c>
      <c r="F15" s="247">
        <f>Balancesheet!G23-Balancesheet!F23</f>
        <v>849606.31694757007</v>
      </c>
      <c r="G15" s="247">
        <f>Balancesheet!H23-Balancesheet!G23</f>
        <v>13156911.019598892</v>
      </c>
      <c r="H15" s="247">
        <f>Balancesheet!I23-Balancesheet!H23</f>
        <v>7625577.4225406125</v>
      </c>
    </row>
    <row r="16" spans="2:10">
      <c r="B16" s="246" t="s">
        <v>213</v>
      </c>
      <c r="D16" s="245"/>
      <c r="E16" s="245"/>
      <c r="F16" s="245"/>
      <c r="G16" s="245"/>
      <c r="H16" s="245"/>
    </row>
    <row r="17" spans="2:8">
      <c r="B17" s="244" t="s">
        <v>212</v>
      </c>
      <c r="D17" s="238">
        <f>'Fixed Assets Sch'!E38</f>
        <v>361875</v>
      </c>
      <c r="E17" s="238">
        <f>'Fixed Assets Sch'!F38</f>
        <v>723750</v>
      </c>
      <c r="F17" s="238">
        <f>'Fixed Assets Sch'!G38</f>
        <v>723750</v>
      </c>
      <c r="G17" s="238">
        <f>'Fixed Assets Sch'!H38</f>
        <v>957187.5</v>
      </c>
      <c r="H17" s="238">
        <f>'Fixed Assets Sch'!I38</f>
        <v>747187.5</v>
      </c>
    </row>
    <row r="18" spans="2:8">
      <c r="B18" s="244" t="s">
        <v>198</v>
      </c>
      <c r="D18" s="238">
        <f>'Income Statement'!D19</f>
        <v>636602.41896302463</v>
      </c>
      <c r="E18" s="238">
        <f>'Income Statement'!E19</f>
        <v>636602.41896302463</v>
      </c>
      <c r="F18" s="238">
        <f>'Income Statement'!F19</f>
        <v>636602.41896302463</v>
      </c>
      <c r="G18" s="238">
        <f>'Income Statement'!G19</f>
        <v>636602.41896302463</v>
      </c>
      <c r="H18" s="238">
        <f>'Income Statement'!H19</f>
        <v>636602.41896302463</v>
      </c>
    </row>
    <row r="19" spans="2:8">
      <c r="B19" s="244" t="s">
        <v>211</v>
      </c>
      <c r="D19" s="238">
        <f>'Income Statement'!D36</f>
        <v>100000</v>
      </c>
      <c r="E19" s="238">
        <f>'Income Statement'!E36</f>
        <v>0</v>
      </c>
      <c r="F19" s="238">
        <f>'Income Statement'!F36</f>
        <v>0</v>
      </c>
      <c r="G19" s="238">
        <f>'Income Statement'!G36</f>
        <v>0</v>
      </c>
      <c r="H19" s="238">
        <f>'Income Statement'!H36</f>
        <v>0</v>
      </c>
    </row>
    <row r="20" spans="2:8">
      <c r="B20" s="244" t="s">
        <v>210</v>
      </c>
      <c r="D20" s="238">
        <f>Balancesheet!E24-Balancesheet!D24</f>
        <v>637233.55421411712</v>
      </c>
      <c r="E20" s="238">
        <f>Balancesheet!F24-Balancesheet!E24</f>
        <v>2389259.4082275243</v>
      </c>
      <c r="F20" s="238">
        <f>Balancesheet!G24-Balancesheet!F24</f>
        <v>2570154.7532109437</v>
      </c>
      <c r="G20" s="238">
        <f>Balancesheet!H24-Balancesheet!G24</f>
        <v>5371480.3911338747</v>
      </c>
      <c r="H20" s="238">
        <f>Balancesheet!I24-Balancesheet!H24</f>
        <v>6995092.9173498154</v>
      </c>
    </row>
    <row r="21" spans="2:8">
      <c r="B21" s="244" t="s">
        <v>209</v>
      </c>
      <c r="D21" s="238">
        <f>Balancesheet!F43-Balancesheet!E43</f>
        <v>0</v>
      </c>
      <c r="E21" s="238">
        <f>Balancesheet!G43-Balancesheet!F43</f>
        <v>0</v>
      </c>
      <c r="F21" s="238">
        <f>Balancesheet!H43-Balancesheet!G43</f>
        <v>0</v>
      </c>
      <c r="G21" s="238">
        <f>Balancesheet!I43-Balancesheet!H43</f>
        <v>0</v>
      </c>
      <c r="H21" s="238">
        <f>Balancesheet!J43-Balancesheet!I43</f>
        <v>0</v>
      </c>
    </row>
    <row r="22" spans="2:8">
      <c r="B22" s="244" t="s">
        <v>516</v>
      </c>
      <c r="D22" s="238">
        <f>Balancesheet!E27-Balancesheet!D27</f>
        <v>537057.24112788052</v>
      </c>
      <c r="E22" s="238">
        <f>Balancesheet!F27-Balancesheet!E27</f>
        <v>1581341.599616817</v>
      </c>
      <c r="F22" s="238">
        <f>Balancesheet!G27-Balancesheet!F27</f>
        <v>1550796.5789623978</v>
      </c>
      <c r="G22" s="238">
        <f>Balancesheet!H27-Balancesheet!G27</f>
        <v>3941894.1002656501</v>
      </c>
      <c r="H22" s="238">
        <f>Balancesheet!I27-Balancesheet!H27</f>
        <v>4907988.5668495018</v>
      </c>
    </row>
    <row r="23" spans="2:8">
      <c r="B23" s="244" t="s">
        <v>383</v>
      </c>
      <c r="D23" s="238">
        <f>'Income Statement'!D37</f>
        <v>4041725.9970048629</v>
      </c>
      <c r="E23" s="238">
        <f>'Income Statement'!E37</f>
        <v>13709479.461123291</v>
      </c>
      <c r="F23" s="238">
        <f>'Income Statement'!F37</f>
        <v>14583038.724338764</v>
      </c>
      <c r="G23" s="238">
        <f>'Income Statement'!G37</f>
        <v>33844123.743147202</v>
      </c>
      <c r="H23" s="238">
        <f>'Income Statement'!H37</f>
        <v>44791377.586262964</v>
      </c>
    </row>
    <row r="24" spans="2:8">
      <c r="B24" s="243" t="s">
        <v>208</v>
      </c>
      <c r="D24" s="242">
        <f>SUM(D13:D23)</f>
        <v>7810933.0861766962</v>
      </c>
      <c r="E24" s="242">
        <f>SUM(E13:E23)</f>
        <v>23154779.316142179</v>
      </c>
      <c r="F24" s="242">
        <f>SUM(F13:F23)</f>
        <v>20489145.633948915</v>
      </c>
      <c r="G24" s="242">
        <f>SUM(G13:G23)</f>
        <v>51329743.663309194</v>
      </c>
      <c r="H24" s="242">
        <f>SUM(H13:H23)</f>
        <v>61891037.700695612</v>
      </c>
    </row>
    <row r="25" spans="2:8" ht="13.5" thickBot="1">
      <c r="D25" s="241"/>
      <c r="E25" s="241"/>
      <c r="F25" s="241"/>
      <c r="G25" s="241"/>
      <c r="H25" s="241"/>
    </row>
    <row r="26" spans="2:8" ht="13.5" thickTop="1">
      <c r="B26" s="232" t="s">
        <v>207</v>
      </c>
      <c r="D26" s="240">
        <f>D24+D11</f>
        <v>23977837.074196149</v>
      </c>
      <c r="E26" s="240">
        <f>E24+E11</f>
        <v>77992697.160635352</v>
      </c>
      <c r="F26" s="240">
        <f>F24+F11</f>
        <v>78821300.531303972</v>
      </c>
      <c r="G26" s="240">
        <f>G24+G11</f>
        <v>186706238.63589799</v>
      </c>
      <c r="H26" s="240">
        <f>H24+H11</f>
        <v>241056548.04574743</v>
      </c>
    </row>
    <row r="27" spans="2:8">
      <c r="B27" s="232" t="s">
        <v>206</v>
      </c>
      <c r="D27" s="234"/>
      <c r="E27" s="234"/>
      <c r="F27" s="234"/>
      <c r="G27" s="234"/>
      <c r="H27" s="234"/>
    </row>
    <row r="28" spans="2:8">
      <c r="B28" s="239" t="s">
        <v>285</v>
      </c>
      <c r="D28" s="238">
        <f>-'Fixed Assets Sch'!E22</f>
        <v>-1500000</v>
      </c>
      <c r="E28" s="238">
        <f>-'Fixed Assets Sch'!F22</f>
        <v>0</v>
      </c>
      <c r="F28" s="238">
        <f>-'Fixed Assets Sch'!G22</f>
        <v>0</v>
      </c>
      <c r="G28" s="238">
        <f>-'Fixed Assets Sch'!H22</f>
        <v>-1500000</v>
      </c>
      <c r="H28" s="238">
        <f>-'Fixed Assets Sch'!I22</f>
        <v>0</v>
      </c>
    </row>
    <row r="29" spans="2:8">
      <c r="B29" s="239" t="s">
        <v>380</v>
      </c>
      <c r="D29" s="238">
        <f>-'Fixed Assets Sch'!E23</f>
        <v>-1250000</v>
      </c>
      <c r="E29" s="238">
        <f>-'Fixed Assets Sch'!F23</f>
        <v>0</v>
      </c>
      <c r="F29" s="238">
        <f>-'Fixed Assets Sch'!G23</f>
        <v>0</v>
      </c>
      <c r="G29" s="238">
        <f>-'Fixed Assets Sch'!H23</f>
        <v>-312500</v>
      </c>
      <c r="H29" s="238">
        <f>-'Fixed Assets Sch'!I23</f>
        <v>0</v>
      </c>
    </row>
    <row r="30" spans="2:8">
      <c r="B30" s="239" t="s">
        <v>287</v>
      </c>
      <c r="D30" s="238">
        <f>-'Fixed Assets Sch'!E24</f>
        <v>-600000</v>
      </c>
      <c r="E30" s="238">
        <f>-'Fixed Assets Sch'!F24</f>
        <v>0</v>
      </c>
      <c r="F30" s="238">
        <f>-'Fixed Assets Sch'!G24</f>
        <v>0</v>
      </c>
      <c r="G30" s="238">
        <f>-'Fixed Assets Sch'!H24</f>
        <v>-600000</v>
      </c>
      <c r="H30" s="238">
        <f>-'Fixed Assets Sch'!I24</f>
        <v>0</v>
      </c>
    </row>
    <row r="31" spans="2:8">
      <c r="B31" s="239" t="s">
        <v>405</v>
      </c>
      <c r="D31" s="238">
        <f>-Preoperative_expenses!D16</f>
        <v>-3183012.0948151234</v>
      </c>
      <c r="E31" s="238"/>
      <c r="F31" s="238"/>
      <c r="G31" s="238"/>
      <c r="H31" s="238"/>
    </row>
    <row r="32" spans="2:8">
      <c r="B32" s="232" t="s">
        <v>205</v>
      </c>
      <c r="D32" s="237">
        <f>SUM(D28:D31)</f>
        <v>-6533012.0948151238</v>
      </c>
      <c r="E32" s="237">
        <f>SUM(E28:E31)</f>
        <v>0</v>
      </c>
      <c r="F32" s="237">
        <f>SUM(F28:F31)</f>
        <v>0</v>
      </c>
      <c r="G32" s="237">
        <f>SUM(G28:G31)</f>
        <v>-2412500</v>
      </c>
      <c r="H32" s="237">
        <f>SUM(H28:H31)</f>
        <v>0</v>
      </c>
    </row>
    <row r="33" spans="2:10">
      <c r="B33" s="232" t="s">
        <v>204</v>
      </c>
      <c r="D33" s="234"/>
      <c r="E33" s="234"/>
      <c r="F33" s="234"/>
      <c r="G33" s="234"/>
      <c r="H33" s="234"/>
    </row>
    <row r="34" spans="2:10">
      <c r="B34" s="236" t="s">
        <v>203</v>
      </c>
      <c r="D34" s="234">
        <f>Balancesheet!E36</f>
        <v>1000000</v>
      </c>
      <c r="E34" s="234">
        <v>0</v>
      </c>
      <c r="F34" s="234">
        <v>0</v>
      </c>
      <c r="G34" s="234">
        <v>0</v>
      </c>
      <c r="H34" s="234">
        <v>0</v>
      </c>
    </row>
    <row r="35" spans="2:10">
      <c r="B35" s="236" t="s">
        <v>382</v>
      </c>
      <c r="D35" s="235">
        <f>-'Loan Schedule'!E18</f>
        <v>-83333.333333333328</v>
      </c>
      <c r="E35" s="235">
        <f>-'Loan Schedule'!F18</f>
        <v>-83333.333333333328</v>
      </c>
      <c r="F35" s="235">
        <f>-'Loan Schedule'!G18</f>
        <v>-83333.333333333328</v>
      </c>
      <c r="G35" s="235">
        <f>-'Loan Schedule'!H18</f>
        <v>-83333.333333333328</v>
      </c>
      <c r="H35" s="235">
        <f>-'Loan Schedule'!I18</f>
        <v>-83333.333333333328</v>
      </c>
    </row>
    <row r="36" spans="2:10">
      <c r="B36" s="236" t="s">
        <v>222</v>
      </c>
      <c r="D36" s="235">
        <f>'Loan Schedule'!D8</f>
        <v>500000</v>
      </c>
      <c r="E36" s="235"/>
      <c r="F36" s="235"/>
      <c r="G36" s="235"/>
      <c r="H36" s="235"/>
    </row>
    <row r="37" spans="2:10">
      <c r="B37" s="236" t="s">
        <v>384</v>
      </c>
      <c r="D37" s="235"/>
      <c r="E37" s="235">
        <f>-'Income Statement'!D37</f>
        <v>-4041725.9970048629</v>
      </c>
      <c r="F37" s="235">
        <f>-'Income Statement'!E37</f>
        <v>-13709479.461123291</v>
      </c>
      <c r="G37" s="235">
        <f>-'Income Statement'!F37</f>
        <v>-14583038.724338764</v>
      </c>
      <c r="H37" s="235">
        <f>-'Income Statement'!G37</f>
        <v>-33844123.743147202</v>
      </c>
    </row>
    <row r="38" spans="2:10">
      <c r="B38" s="232" t="s">
        <v>202</v>
      </c>
      <c r="D38" s="234">
        <f>D34+D35+D36+D37</f>
        <v>1416666.6666666665</v>
      </c>
      <c r="E38" s="234">
        <f>E34+E35+E36+E37</f>
        <v>-4125059.3303381964</v>
      </c>
      <c r="F38" s="234">
        <f>F34+F35+F36+F37</f>
        <v>-13792812.794456625</v>
      </c>
      <c r="G38" s="234">
        <f>G34+G35+G36+G37</f>
        <v>-14666372.057672098</v>
      </c>
      <c r="H38" s="234">
        <f>H34+H35+H36+H37</f>
        <v>-33927457.076480538</v>
      </c>
    </row>
    <row r="39" spans="2:10" ht="15.75">
      <c r="B39" s="232" t="s">
        <v>201</v>
      </c>
      <c r="D39" s="234">
        <f>D38+D32+D26</f>
        <v>18861491.646047689</v>
      </c>
      <c r="E39" s="234">
        <f>E38+E32+E26</f>
        <v>73867637.830297157</v>
      </c>
      <c r="F39" s="234">
        <f>F38+F32+F26</f>
        <v>65028487.736847349</v>
      </c>
      <c r="G39" s="234">
        <f>G38+G32+G26</f>
        <v>169627366.57822591</v>
      </c>
      <c r="H39" s="234">
        <f>H38+H32+H26</f>
        <v>207129090.96926689</v>
      </c>
      <c r="I39" s="214"/>
      <c r="J39" s="214"/>
    </row>
    <row r="40" spans="2:10" ht="16.5" thickBot="1">
      <c r="D40" s="233"/>
      <c r="E40" s="233"/>
      <c r="F40" s="233"/>
      <c r="G40" s="233"/>
      <c r="H40" s="233"/>
      <c r="J40" s="214"/>
    </row>
    <row r="41" spans="2:10" ht="15.75">
      <c r="B41" s="232" t="s">
        <v>200</v>
      </c>
      <c r="D41" s="234">
        <f>D39+D9</f>
        <v>18861491.646047689</v>
      </c>
      <c r="E41" s="234">
        <f>E39+E9</f>
        <v>92729129.476344854</v>
      </c>
      <c r="F41" s="234">
        <f>F39+F9</f>
        <v>157757617.21319219</v>
      </c>
      <c r="G41" s="234">
        <f>G39+G9</f>
        <v>327384983.79141808</v>
      </c>
      <c r="H41" s="234">
        <f>H39+H9</f>
        <v>534514074.76068497</v>
      </c>
      <c r="J41" s="214"/>
    </row>
    <row r="42" spans="2:10" ht="15.75">
      <c r="B42" s="224"/>
      <c r="C42" s="224"/>
      <c r="D42" s="224"/>
      <c r="E42" s="224"/>
      <c r="F42" s="224"/>
      <c r="G42" s="224"/>
      <c r="H42" s="224"/>
      <c r="J42" s="214"/>
    </row>
    <row r="43" spans="2:10" ht="16.5" thickBot="1">
      <c r="B43" s="253"/>
      <c r="C43" s="253"/>
      <c r="D43" s="253"/>
      <c r="E43" s="253"/>
      <c r="F43" s="253"/>
      <c r="G43" s="253"/>
      <c r="H43" s="253"/>
      <c r="J43" s="214"/>
    </row>
    <row r="44" spans="2:10" ht="15.75">
      <c r="B44" s="224"/>
      <c r="C44" s="224"/>
      <c r="D44" s="224"/>
      <c r="E44" s="224"/>
      <c r="F44" s="224"/>
      <c r="G44" s="224"/>
      <c r="H44" s="224"/>
      <c r="I44" s="214"/>
    </row>
    <row r="45" spans="2:10" ht="23.25">
      <c r="B45" s="71" t="str">
        <f>IF(toggle_3="Yes",footnote_3,"")</f>
        <v>Draft and preliminary.</v>
      </c>
      <c r="C45" s="224"/>
      <c r="D45" s="224"/>
      <c r="E45" s="224"/>
      <c r="F45" s="231"/>
      <c r="G45" s="231"/>
      <c r="H45" s="231"/>
      <c r="I45" s="214"/>
    </row>
    <row r="46" spans="2:10" ht="23.25">
      <c r="B46" s="71" t="str">
        <f>IF(toggle_4="Yes",footnote_4,"")</f>
        <v>All data subject to change upon completion of additional analysis.</v>
      </c>
      <c r="C46" s="224"/>
      <c r="D46" s="224"/>
      <c r="E46" s="224"/>
      <c r="F46" s="224"/>
      <c r="G46" s="230"/>
      <c r="H46" s="230" t="str">
        <f>IF(toggle_5="Yes",copyright,"")</f>
        <v>© 2009 by p2w2.  All rights reserved.</v>
      </c>
      <c r="I46" s="214"/>
    </row>
    <row r="47" spans="2:10" ht="23.25">
      <c r="B47" s="71"/>
      <c r="C47" s="224"/>
      <c r="D47" s="224"/>
      <c r="E47" s="224"/>
      <c r="F47" s="224"/>
      <c r="G47" s="224"/>
      <c r="H47" s="224"/>
      <c r="I47" s="230"/>
      <c r="J47" s="214"/>
    </row>
    <row r="48" spans="2:10">
      <c r="E48" s="252"/>
      <c r="F48" s="252"/>
      <c r="G48" s="252"/>
      <c r="H48" s="252"/>
    </row>
    <row r="51" spans="4:4">
      <c r="D51" s="229"/>
    </row>
    <row r="126" spans="1:1">
      <c r="A126" s="439" t="e">
        <f>VLOOKUP(B126,Assumptions!$B$109:$C$159,2,FALSE)</f>
        <v>#N/A</v>
      </c>
    </row>
    <row r="128" spans="1:1">
      <c r="A128" s="438" t="e">
        <f>VLOOKUP(B128,Assumptions!$B$109:$C$159,2,FALSE)</f>
        <v>#N/A</v>
      </c>
    </row>
    <row r="133" spans="1:1">
      <c r="A133" s="439" t="e">
        <f>VLOOKUP(B133,Assumptions!$B$109:$C$159,2,FALSE)</f>
        <v>#N/A</v>
      </c>
    </row>
    <row r="134" spans="1:1">
      <c r="A134" s="438" t="e">
        <f>VLOOKUP(B134,Assumptions!$B$109:$C$159,2,FALSE)</f>
        <v>#N/A</v>
      </c>
    </row>
    <row r="136" spans="1:1">
      <c r="A136" s="438" t="e">
        <f>VLOOKUP(B136,Assumptions!$B$109:$C$159,2,FALSE)</f>
        <v>#N/A</v>
      </c>
    </row>
    <row r="137" spans="1:1">
      <c r="A137" s="439" t="e">
        <f>VLOOKUP(B137,Assumptions!$B$109:$C$159,2,FALSE)</f>
        <v>#N/A</v>
      </c>
    </row>
    <row r="141" spans="1:1">
      <c r="A141" s="439" t="e">
        <f>VLOOKUP(B141,Assumptions!$B$109:$C$159,2,FALSE)</f>
        <v>#N/A</v>
      </c>
    </row>
    <row r="143" spans="1:1">
      <c r="A143" s="439" t="e">
        <f>VLOOKUP(B143,Assumptions!$B$109:$C$159,2,FALSE)</f>
        <v>#N/A</v>
      </c>
    </row>
    <row r="144" spans="1:1">
      <c r="A144" s="439" t="e">
        <f>VLOOKUP(B144,Assumptions!$B$109:$C$159,2,FALSE)</f>
        <v>#N/A</v>
      </c>
    </row>
    <row r="145" spans="1:1">
      <c r="A145" s="439" t="e">
        <f>VLOOKUP(B145,Assumptions!$B$109:$C$159,2,FALSE)</f>
        <v>#N/A</v>
      </c>
    </row>
    <row r="146" spans="1:1">
      <c r="A146" s="438" t="e">
        <f>VLOOKUP(B146,Assumptions!$B$109:$C$159,2,FALSE)</f>
        <v>#N/A</v>
      </c>
    </row>
    <row r="150" spans="1:1">
      <c r="A150" s="439" t="e">
        <f>VLOOKUP(B150,Assumptions!$B$109:$C$159,2,FALSE)</f>
        <v>#N/A</v>
      </c>
    </row>
  </sheetData>
  <pageMargins left="0.7" right="0.7" top="0.75" bottom="0.75" header="0.3" footer="0.3"/>
  <pageSetup paperSize="9" scale="65" orientation="landscape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71"/>
  <sheetViews>
    <sheetView workbookViewId="0">
      <selection activeCell="D17" sqref="D17"/>
    </sheetView>
  </sheetViews>
  <sheetFormatPr defaultRowHeight="12.75"/>
  <cols>
    <col min="1" max="1" width="40.7109375" style="3" bestFit="1" customWidth="1"/>
    <col min="2" max="2" width="11.7109375" style="3" customWidth="1"/>
    <col min="3" max="9" width="12.7109375" style="3" customWidth="1"/>
    <col min="10" max="16384" width="9.140625" style="3"/>
  </cols>
  <sheetData>
    <row r="1" spans="1:13" ht="47.25" customHeight="1"/>
    <row r="2" spans="1:13" ht="19.5" thickBot="1">
      <c r="A2" s="1" t="s">
        <v>0</v>
      </c>
      <c r="B2" s="2"/>
      <c r="C2" s="2"/>
      <c r="D2" s="2"/>
      <c r="E2" s="2"/>
      <c r="F2" s="2"/>
      <c r="G2" s="2"/>
      <c r="H2" s="2"/>
      <c r="I2" s="2"/>
    </row>
    <row r="5" spans="1:13">
      <c r="A5" s="4" t="s">
        <v>1</v>
      </c>
    </row>
    <row r="6" spans="1:13">
      <c r="A6" s="3" t="s">
        <v>2</v>
      </c>
      <c r="C6" s="5" t="s">
        <v>520</v>
      </c>
    </row>
    <row r="7" spans="1:13">
      <c r="A7" s="3" t="s">
        <v>3</v>
      </c>
      <c r="C7" s="5" t="s">
        <v>417</v>
      </c>
      <c r="M7" s="3">
        <f>4*300</f>
        <v>1200</v>
      </c>
    </row>
    <row r="8" spans="1:13">
      <c r="A8" s="3" t="s">
        <v>4</v>
      </c>
      <c r="C8" s="5" t="s">
        <v>519</v>
      </c>
      <c r="M8" s="3">
        <v>2</v>
      </c>
    </row>
    <row r="9" spans="1:13">
      <c r="A9" s="3" t="s">
        <v>5</v>
      </c>
      <c r="B9" s="5" t="s">
        <v>6</v>
      </c>
      <c r="C9" s="5" t="str">
        <f>"Source of data: "&amp;co_name</f>
        <v>Source of data: Sample Company</v>
      </c>
    </row>
    <row r="10" spans="1:13">
      <c r="A10" s="3" t="s">
        <v>7</v>
      </c>
      <c r="B10" s="5" t="s">
        <v>6</v>
      </c>
      <c r="C10" s="5" t="s">
        <v>8</v>
      </c>
    </row>
    <row r="11" spans="1:13">
      <c r="A11" s="3" t="s">
        <v>9</v>
      </c>
      <c r="B11" s="5" t="s">
        <v>6</v>
      </c>
      <c r="C11" s="5" t="s">
        <v>10</v>
      </c>
    </row>
    <row r="12" spans="1:13">
      <c r="A12" s="3" t="s">
        <v>11</v>
      </c>
      <c r="B12" s="5" t="s">
        <v>6</v>
      </c>
      <c r="C12" s="5" t="s">
        <v>12</v>
      </c>
    </row>
    <row r="13" spans="1:13">
      <c r="A13" s="3" t="s">
        <v>13</v>
      </c>
      <c r="B13" s="5" t="s">
        <v>6</v>
      </c>
      <c r="C13" s="5" t="s">
        <v>465</v>
      </c>
    </row>
    <row r="14" spans="1:13">
      <c r="A14" s="3" t="s">
        <v>14</v>
      </c>
      <c r="B14" s="5">
        <v>1</v>
      </c>
      <c r="C14" s="40">
        <f ca="1">TODAY()</f>
        <v>39918</v>
      </c>
    </row>
    <row r="15" spans="1:13">
      <c r="A15" s="3" t="s">
        <v>15</v>
      </c>
      <c r="B15" s="5">
        <v>1</v>
      </c>
      <c r="C15" s="6">
        <f ca="1">NOW()</f>
        <v>39918.566740393515</v>
      </c>
    </row>
    <row r="17" spans="1:4">
      <c r="A17" s="4" t="s">
        <v>16</v>
      </c>
    </row>
    <row r="19" spans="1:4">
      <c r="A19" s="3" t="s">
        <v>17</v>
      </c>
      <c r="C19" s="5">
        <v>2009</v>
      </c>
    </row>
    <row r="21" spans="1:4">
      <c r="A21" s="273" t="s">
        <v>236</v>
      </c>
      <c r="B21" t="s">
        <v>18</v>
      </c>
      <c r="C21" s="5">
        <v>1</v>
      </c>
      <c r="D21"/>
    </row>
    <row r="22" spans="1:4">
      <c r="A22" s="273" t="s">
        <v>237</v>
      </c>
      <c r="B22" t="s">
        <v>18</v>
      </c>
      <c r="C22" s="5">
        <v>2</v>
      </c>
      <c r="D22"/>
    </row>
    <row r="23" spans="1:4">
      <c r="A23" s="273" t="s">
        <v>386</v>
      </c>
      <c r="B23" t="s">
        <v>18</v>
      </c>
      <c r="C23" s="5">
        <v>3</v>
      </c>
      <c r="D23"/>
    </row>
    <row r="24" spans="1:4">
      <c r="A24" s="273" t="s">
        <v>385</v>
      </c>
      <c r="B24" t="s">
        <v>18</v>
      </c>
      <c r="C24" s="5">
        <v>4</v>
      </c>
      <c r="D24"/>
    </row>
    <row r="25" spans="1:4">
      <c r="A25" s="273" t="s">
        <v>406</v>
      </c>
      <c r="B25" t="s">
        <v>18</v>
      </c>
      <c r="C25" s="5">
        <v>5</v>
      </c>
      <c r="D25"/>
    </row>
    <row r="26" spans="1:4">
      <c r="A26" s="273" t="s">
        <v>407</v>
      </c>
      <c r="B26" t="s">
        <v>18</v>
      </c>
      <c r="C26" s="5">
        <v>6</v>
      </c>
      <c r="D26"/>
    </row>
    <row r="27" spans="1:4">
      <c r="A27" t="s">
        <v>199</v>
      </c>
      <c r="B27" t="s">
        <v>18</v>
      </c>
      <c r="C27" s="5">
        <v>7</v>
      </c>
      <c r="D27"/>
    </row>
    <row r="28" spans="1:4">
      <c r="A28" t="s">
        <v>19</v>
      </c>
      <c r="B28" t="s">
        <v>18</v>
      </c>
      <c r="C28" s="5">
        <v>8</v>
      </c>
      <c r="D28"/>
    </row>
    <row r="29" spans="1:4">
      <c r="A29" t="s">
        <v>20</v>
      </c>
      <c r="B29" t="s">
        <v>18</v>
      </c>
      <c r="C29" s="5">
        <v>9</v>
      </c>
      <c r="D29"/>
    </row>
    <row r="30" spans="1:4">
      <c r="A30" s="273" t="s">
        <v>408</v>
      </c>
      <c r="B30" t="s">
        <v>18</v>
      </c>
      <c r="C30" s="5">
        <v>10</v>
      </c>
      <c r="D30"/>
    </row>
    <row r="31" spans="1:4">
      <c r="A31" t="s">
        <v>409</v>
      </c>
      <c r="B31" t="s">
        <v>18</v>
      </c>
      <c r="C31" s="5">
        <v>11</v>
      </c>
      <c r="D31"/>
    </row>
    <row r="32" spans="1:4">
      <c r="A32" s="273" t="s">
        <v>235</v>
      </c>
      <c r="B32" t="s">
        <v>18</v>
      </c>
      <c r="C32" s="5">
        <v>12</v>
      </c>
      <c r="D32"/>
    </row>
    <row r="33" spans="1:4">
      <c r="A33" t="s">
        <v>508</v>
      </c>
      <c r="B33" s="273" t="s">
        <v>18</v>
      </c>
      <c r="C33" s="5">
        <v>13</v>
      </c>
      <c r="D33"/>
    </row>
    <row r="34" spans="1:4">
      <c r="A34" t="s">
        <v>88</v>
      </c>
      <c r="B34" s="273" t="s">
        <v>18</v>
      </c>
      <c r="C34" s="5">
        <v>14</v>
      </c>
      <c r="D34"/>
    </row>
    <row r="35" spans="1:4">
      <c r="A35" t="s">
        <v>191</v>
      </c>
      <c r="B35" s="273" t="s">
        <v>18</v>
      </c>
      <c r="C35" s="5">
        <v>15</v>
      </c>
      <c r="D35"/>
    </row>
    <row r="36" spans="1:4">
      <c r="A36" s="273" t="s">
        <v>224</v>
      </c>
      <c r="B36" s="273" t="s">
        <v>18</v>
      </c>
      <c r="C36" s="5">
        <v>16</v>
      </c>
    </row>
    <row r="37" spans="1:4">
      <c r="A37" s="273" t="s">
        <v>410</v>
      </c>
      <c r="B37" s="273" t="s">
        <v>18</v>
      </c>
      <c r="C37" s="5">
        <v>17</v>
      </c>
    </row>
    <row r="71" spans="2:2">
      <c r="B71" s="203"/>
    </row>
  </sheetData>
  <pageMargins left="0.75" right="0.75" top="1" bottom="1" header="0.5" footer="0.5"/>
  <pageSetup paperSize="9" scale="74" orientation="landscape" horizontalDpi="1200" r:id="rId1"/>
  <headerFooter alignWithMargins="0">
    <oddHeader>&amp;C&amp;A</oddHeader>
    <oddFooter>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dimension ref="B1:IV159"/>
  <sheetViews>
    <sheetView topLeftCell="A92" zoomScale="90" zoomScaleNormal="90" workbookViewId="0">
      <selection activeCell="C112" sqref="C112"/>
    </sheetView>
  </sheetViews>
  <sheetFormatPr defaultRowHeight="12.75"/>
  <cols>
    <col min="1" max="1" width="20.7109375" customWidth="1"/>
    <col min="2" max="2" width="52.140625" bestFit="1" customWidth="1"/>
    <col min="3" max="3" width="11.85546875" bestFit="1" customWidth="1"/>
    <col min="4" max="5" width="12.140625" bestFit="1" customWidth="1"/>
    <col min="6" max="6" width="15" bestFit="1" customWidth="1"/>
    <col min="7" max="7" width="12.140625" bestFit="1" customWidth="1"/>
    <col min="8" max="9" width="13.42578125" bestFit="1" customWidth="1"/>
    <col min="11" max="11" width="12.85546875" bestFit="1" customWidth="1"/>
  </cols>
  <sheetData>
    <row r="1" spans="2:256" ht="47.25" customHeight="1" thickBot="1">
      <c r="B1" s="67" t="str">
        <f>co_name</f>
        <v>Sample Company</v>
      </c>
      <c r="C1" s="67"/>
      <c r="D1" s="67"/>
      <c r="E1" s="67"/>
      <c r="F1" s="67"/>
      <c r="G1" s="67"/>
      <c r="H1" s="67"/>
      <c r="I1" s="67"/>
      <c r="J1" s="64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64"/>
      <c r="X1" s="64"/>
      <c r="Y1" s="64"/>
      <c r="Z1" s="64"/>
      <c r="AA1" s="64"/>
      <c r="AB1" s="64"/>
      <c r="AC1" s="64"/>
      <c r="AD1" s="64"/>
      <c r="AE1" s="64"/>
      <c r="AF1" s="64"/>
      <c r="AG1" s="64"/>
      <c r="AH1" s="64"/>
      <c r="AI1" s="64"/>
      <c r="AJ1" s="64"/>
      <c r="AK1" s="64"/>
      <c r="AL1" s="64"/>
      <c r="AM1" s="64"/>
      <c r="AN1" s="64"/>
      <c r="AO1" s="64"/>
      <c r="AP1" s="64"/>
      <c r="AQ1" s="64"/>
      <c r="AR1" s="64"/>
      <c r="AS1" s="64"/>
      <c r="AT1" s="64"/>
      <c r="AU1" s="64"/>
      <c r="AV1" s="64"/>
      <c r="AW1" s="64"/>
      <c r="AX1" s="64"/>
      <c r="AY1" s="64"/>
      <c r="AZ1" s="64"/>
      <c r="BA1" s="64"/>
      <c r="BB1" s="64"/>
      <c r="BC1" s="64"/>
      <c r="BD1" s="64"/>
      <c r="BE1" s="64"/>
      <c r="BF1" s="64"/>
      <c r="BG1" s="64"/>
      <c r="BH1" s="64"/>
      <c r="BI1" s="64"/>
      <c r="BJ1" s="64"/>
      <c r="BK1" s="64"/>
      <c r="BL1" s="64"/>
      <c r="BM1" s="64"/>
      <c r="BN1" s="64"/>
      <c r="BO1" s="64"/>
      <c r="BP1" s="64"/>
      <c r="BQ1" s="64"/>
      <c r="BR1" s="64"/>
      <c r="BS1" s="64"/>
      <c r="BT1" s="64"/>
      <c r="BU1" s="64"/>
      <c r="BV1" s="64"/>
      <c r="BW1" s="64"/>
      <c r="BX1" s="64"/>
      <c r="BY1" s="64"/>
      <c r="BZ1" s="64"/>
      <c r="CA1" s="64"/>
      <c r="CB1" s="64"/>
      <c r="CC1" s="64"/>
      <c r="CD1" s="64"/>
      <c r="CE1" s="64"/>
      <c r="CF1" s="64"/>
      <c r="CG1" s="64"/>
      <c r="CH1" s="64"/>
      <c r="CI1" s="64"/>
      <c r="CJ1" s="64"/>
      <c r="CK1" s="64"/>
      <c r="CL1" s="64"/>
      <c r="CM1" s="64"/>
      <c r="CN1" s="64"/>
      <c r="CO1" s="64"/>
      <c r="CP1" s="64"/>
      <c r="CQ1" s="64"/>
      <c r="CR1" s="64"/>
      <c r="CS1" s="64"/>
      <c r="CT1" s="64"/>
      <c r="CU1" s="64"/>
      <c r="CV1" s="64"/>
      <c r="CW1" s="64"/>
      <c r="CX1" s="64"/>
      <c r="CY1" s="64"/>
      <c r="CZ1" s="64"/>
      <c r="DA1" s="64"/>
      <c r="DB1" s="64"/>
      <c r="DC1" s="64"/>
      <c r="DD1" s="64"/>
      <c r="DE1" s="64"/>
      <c r="DF1" s="64"/>
      <c r="DG1" s="64"/>
      <c r="DH1" s="64"/>
      <c r="DI1" s="64"/>
      <c r="DJ1" s="64"/>
      <c r="DK1" s="64"/>
      <c r="DL1" s="64"/>
      <c r="DM1" s="64"/>
      <c r="DN1" s="64"/>
      <c r="DO1" s="64"/>
      <c r="DP1" s="64"/>
      <c r="DQ1" s="64"/>
      <c r="DR1" s="64"/>
      <c r="DS1" s="64"/>
      <c r="DT1" s="64"/>
      <c r="DU1" s="64"/>
      <c r="DV1" s="64"/>
      <c r="DW1" s="64"/>
      <c r="DX1" s="64"/>
      <c r="DY1" s="64"/>
      <c r="DZ1" s="64"/>
      <c r="EA1" s="64"/>
      <c r="EB1" s="64"/>
      <c r="EC1" s="64"/>
      <c r="ED1" s="64"/>
      <c r="EE1" s="64"/>
      <c r="EF1" s="64"/>
      <c r="EG1" s="64"/>
      <c r="EH1" s="64"/>
      <c r="EI1" s="64"/>
      <c r="EJ1" s="64"/>
      <c r="EK1" s="64"/>
      <c r="EL1" s="64"/>
      <c r="EM1" s="64"/>
      <c r="EN1" s="64"/>
      <c r="EO1" s="64"/>
      <c r="EP1" s="64"/>
      <c r="EQ1" s="64"/>
      <c r="ER1" s="64"/>
      <c r="ES1" s="64"/>
      <c r="ET1" s="64"/>
      <c r="EU1" s="64"/>
      <c r="EV1" s="64"/>
      <c r="EW1" s="64"/>
      <c r="EX1" s="64"/>
      <c r="EY1" s="64"/>
      <c r="EZ1" s="64"/>
      <c r="FA1" s="64"/>
      <c r="FB1" s="64"/>
      <c r="FC1" s="64"/>
      <c r="FD1" s="64"/>
      <c r="FE1" s="64"/>
      <c r="FF1" s="64"/>
      <c r="FG1" s="64"/>
      <c r="FH1" s="64"/>
      <c r="FI1" s="64"/>
      <c r="FJ1" s="64"/>
      <c r="FK1" s="64"/>
      <c r="FL1" s="64"/>
      <c r="FM1" s="64"/>
      <c r="FN1" s="64"/>
      <c r="FO1" s="64"/>
      <c r="FP1" s="64"/>
      <c r="FQ1" s="64"/>
      <c r="FR1" s="64"/>
      <c r="FS1" s="64"/>
      <c r="FT1" s="64"/>
      <c r="FU1" s="64"/>
      <c r="FV1" s="64"/>
      <c r="FW1" s="64"/>
      <c r="FX1" s="64"/>
      <c r="FY1" s="64"/>
      <c r="FZ1" s="64"/>
      <c r="GA1" s="64"/>
      <c r="GB1" s="64"/>
      <c r="GC1" s="64"/>
      <c r="GD1" s="64"/>
      <c r="GE1" s="64"/>
      <c r="GF1" s="64"/>
      <c r="GG1" s="64"/>
      <c r="GH1" s="64"/>
      <c r="GI1" s="64"/>
      <c r="GJ1" s="64"/>
      <c r="GK1" s="64"/>
      <c r="GL1" s="64"/>
      <c r="GM1" s="64"/>
      <c r="GN1" s="64"/>
      <c r="GO1" s="64"/>
      <c r="GP1" s="64"/>
      <c r="GQ1" s="64"/>
      <c r="GR1" s="64"/>
      <c r="GS1" s="64"/>
      <c r="GT1" s="64"/>
      <c r="GU1" s="64"/>
      <c r="GV1" s="64"/>
      <c r="GW1" s="64"/>
      <c r="GX1" s="64"/>
      <c r="GY1" s="64"/>
      <c r="GZ1" s="64"/>
      <c r="HA1" s="64"/>
      <c r="HB1" s="64"/>
      <c r="HC1" s="64"/>
      <c r="HD1" s="64"/>
      <c r="HE1" s="64"/>
      <c r="HF1" s="64"/>
      <c r="HG1" s="64"/>
      <c r="HH1" s="64"/>
      <c r="HI1" s="64"/>
      <c r="HJ1" s="64"/>
      <c r="HK1" s="64"/>
      <c r="HL1" s="64"/>
      <c r="HM1" s="64"/>
      <c r="HN1" s="64"/>
      <c r="HO1" s="64"/>
      <c r="HP1" s="64"/>
      <c r="HQ1" s="64"/>
      <c r="HR1" s="64"/>
      <c r="HS1" s="64"/>
      <c r="HT1" s="64"/>
      <c r="HU1" s="64"/>
      <c r="HV1" s="64"/>
      <c r="HW1" s="64"/>
      <c r="HX1" s="64"/>
      <c r="HY1" s="64"/>
      <c r="HZ1" s="64"/>
      <c r="IA1" s="64"/>
      <c r="IB1" s="64"/>
      <c r="IC1" s="64"/>
      <c r="ID1" s="64"/>
      <c r="IE1" s="64"/>
      <c r="IF1" s="64"/>
      <c r="IG1" s="64"/>
      <c r="IH1" s="64"/>
      <c r="II1" s="64"/>
      <c r="IJ1" s="64"/>
      <c r="IK1" s="64"/>
      <c r="IL1" s="64"/>
      <c r="IM1" s="64"/>
      <c r="IN1" s="64"/>
      <c r="IO1" s="64"/>
      <c r="IP1" s="64"/>
      <c r="IQ1" s="64"/>
      <c r="IR1" s="64"/>
      <c r="IS1" s="64"/>
      <c r="IT1" s="64"/>
      <c r="IU1" s="64"/>
      <c r="IV1" s="64"/>
    </row>
    <row r="2" spans="2:256" ht="18.75">
      <c r="B2" s="66" t="str">
        <f>proj_name</f>
        <v>Marine Operations Services</v>
      </c>
      <c r="C2" s="9"/>
      <c r="D2" s="9"/>
      <c r="E2" s="9"/>
      <c r="F2" s="9"/>
      <c r="G2" s="9"/>
      <c r="I2" s="68">
        <f ca="1">IF(date_toggle=1,run_date,"")</f>
        <v>39918</v>
      </c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  <c r="HC2" s="9"/>
      <c r="HD2" s="9"/>
      <c r="HE2" s="9"/>
      <c r="HF2" s="9"/>
      <c r="HG2" s="9"/>
      <c r="HH2" s="9"/>
      <c r="HI2" s="9"/>
      <c r="HJ2" s="9"/>
      <c r="HK2" s="9"/>
      <c r="HL2" s="9"/>
      <c r="HM2" s="9"/>
      <c r="HN2" s="9"/>
      <c r="HO2" s="9"/>
      <c r="HP2" s="9"/>
      <c r="HQ2" s="9"/>
      <c r="HR2" s="9"/>
      <c r="HS2" s="9"/>
      <c r="HT2" s="9"/>
      <c r="HU2" s="9"/>
      <c r="HV2" s="9"/>
      <c r="HW2" s="9"/>
      <c r="HX2" s="9"/>
      <c r="HY2" s="9"/>
      <c r="HZ2" s="9"/>
      <c r="IA2" s="9"/>
      <c r="IB2" s="9"/>
      <c r="IC2" s="9"/>
      <c r="ID2" s="9"/>
      <c r="IE2" s="9"/>
      <c r="IF2" s="9"/>
      <c r="IG2" s="9"/>
      <c r="IH2" s="9"/>
      <c r="II2" s="9"/>
      <c r="IJ2" s="9"/>
      <c r="IK2" s="9"/>
      <c r="IL2" s="9"/>
      <c r="IM2" s="9"/>
      <c r="IN2" s="9"/>
      <c r="IO2" s="9"/>
      <c r="IP2" s="9"/>
      <c r="IQ2" s="9"/>
      <c r="IR2" s="9"/>
      <c r="IS2" s="9"/>
      <c r="IT2" s="9"/>
      <c r="IU2" s="9"/>
      <c r="IV2" s="9"/>
    </row>
    <row r="3" spans="2:256" ht="18.75">
      <c r="B3" s="65" t="s">
        <v>413</v>
      </c>
      <c r="C3" s="9"/>
      <c r="D3" s="9"/>
      <c r="E3" s="9"/>
      <c r="F3" s="9"/>
      <c r="G3" s="9"/>
      <c r="I3" s="69">
        <f ca="1">IF(time_toggle=1,run_time,"")</f>
        <v>39918.566740393515</v>
      </c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  <c r="HC3" s="9"/>
      <c r="HD3" s="9"/>
      <c r="HE3" s="9"/>
      <c r="HF3" s="9"/>
      <c r="HG3" s="9"/>
      <c r="HH3" s="9"/>
      <c r="HI3" s="9"/>
      <c r="HJ3" s="9"/>
      <c r="HK3" s="9"/>
      <c r="HL3" s="9"/>
      <c r="HM3" s="9"/>
      <c r="HN3" s="9"/>
      <c r="HO3" s="9"/>
      <c r="HP3" s="9"/>
      <c r="HQ3" s="9"/>
      <c r="HR3" s="9"/>
      <c r="HS3" s="9"/>
      <c r="HT3" s="9"/>
      <c r="HU3" s="9"/>
      <c r="HV3" s="9"/>
      <c r="HW3" s="9"/>
      <c r="HX3" s="9"/>
      <c r="HY3" s="9"/>
      <c r="HZ3" s="9"/>
      <c r="IA3" s="9"/>
      <c r="IB3" s="9"/>
      <c r="IC3" s="9"/>
      <c r="ID3" s="9"/>
      <c r="IE3" s="9"/>
      <c r="IF3" s="9"/>
      <c r="IG3" s="9"/>
      <c r="IH3" s="9"/>
      <c r="II3" s="9"/>
      <c r="IJ3" s="9"/>
      <c r="IK3" s="9"/>
      <c r="IL3" s="9"/>
      <c r="IM3" s="9"/>
      <c r="IN3" s="9"/>
      <c r="IO3" s="9"/>
      <c r="IP3" s="9"/>
      <c r="IQ3" s="9"/>
      <c r="IR3" s="9"/>
      <c r="IS3" s="9"/>
      <c r="IT3" s="9"/>
      <c r="IU3" s="9"/>
      <c r="IV3" s="9"/>
    </row>
    <row r="4" spans="2:256" ht="15.75">
      <c r="B4" s="390" t="str">
        <f>curr</f>
        <v>(in US Dollars)</v>
      </c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  <c r="HC4" s="9"/>
      <c r="HD4" s="9"/>
      <c r="HE4" s="9"/>
      <c r="HF4" s="9"/>
      <c r="HG4" s="9"/>
      <c r="HH4" s="9"/>
      <c r="HI4" s="9"/>
      <c r="HJ4" s="9"/>
      <c r="HK4" s="9"/>
      <c r="HL4" s="9"/>
      <c r="HM4" s="9"/>
      <c r="HN4" s="9"/>
      <c r="HO4" s="9"/>
      <c r="HP4" s="9"/>
      <c r="HQ4" s="9"/>
      <c r="HR4" s="9"/>
      <c r="HS4" s="9"/>
      <c r="HT4" s="9"/>
      <c r="HU4" s="9"/>
      <c r="HV4" s="9"/>
      <c r="HW4" s="9"/>
      <c r="HX4" s="9"/>
      <c r="HY4" s="9"/>
      <c r="HZ4" s="9"/>
      <c r="IA4" s="9"/>
      <c r="IB4" s="9"/>
      <c r="IC4" s="9"/>
      <c r="ID4" s="9"/>
      <c r="IE4" s="9"/>
      <c r="IF4" s="9"/>
      <c r="IG4" s="9"/>
      <c r="IH4" s="9"/>
      <c r="II4" s="9"/>
      <c r="IJ4" s="9"/>
      <c r="IK4" s="9"/>
      <c r="IL4" s="9"/>
      <c r="IM4" s="9"/>
      <c r="IN4" s="9"/>
      <c r="IO4" s="9"/>
      <c r="IP4" s="9"/>
      <c r="IQ4" s="9"/>
      <c r="IR4" s="9"/>
      <c r="IS4" s="9"/>
      <c r="IT4" s="9"/>
      <c r="IU4" s="9"/>
      <c r="IV4" s="9"/>
    </row>
    <row r="5" spans="2:256" ht="15.75">
      <c r="B5" s="390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  <c r="HC5" s="9"/>
      <c r="HD5" s="9"/>
      <c r="HE5" s="9"/>
      <c r="HF5" s="9"/>
      <c r="HG5" s="9"/>
      <c r="HH5" s="9"/>
      <c r="HI5" s="9"/>
      <c r="HJ5" s="9"/>
      <c r="HK5" s="9"/>
      <c r="HL5" s="9"/>
      <c r="HM5" s="9"/>
      <c r="HN5" s="9"/>
      <c r="HO5" s="9"/>
      <c r="HP5" s="9"/>
      <c r="HQ5" s="9"/>
      <c r="HR5" s="9"/>
      <c r="HS5" s="9"/>
      <c r="HT5" s="9"/>
      <c r="HU5" s="9"/>
      <c r="HV5" s="9"/>
      <c r="HW5" s="9"/>
      <c r="HX5" s="9"/>
      <c r="HY5" s="9"/>
      <c r="HZ5" s="9"/>
      <c r="IA5" s="9"/>
      <c r="IB5" s="9"/>
      <c r="IC5" s="9"/>
      <c r="ID5" s="9"/>
      <c r="IE5" s="9"/>
      <c r="IF5" s="9"/>
      <c r="IG5" s="9"/>
      <c r="IH5" s="9"/>
      <c r="II5" s="9"/>
      <c r="IJ5" s="9"/>
      <c r="IK5" s="9"/>
      <c r="IL5" s="9"/>
      <c r="IM5" s="9"/>
      <c r="IN5" s="9"/>
      <c r="IO5" s="9"/>
      <c r="IP5" s="9"/>
      <c r="IQ5" s="9"/>
      <c r="IR5" s="9"/>
      <c r="IS5" s="9"/>
      <c r="IT5" s="9"/>
      <c r="IU5" s="9"/>
      <c r="IV5" s="9"/>
    </row>
    <row r="6" spans="2:256" ht="15.75">
      <c r="B6" s="214" t="s">
        <v>356</v>
      </c>
      <c r="C6" s="407">
        <v>39994</v>
      </c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  <c r="HC6" s="9"/>
      <c r="HD6" s="9"/>
      <c r="HE6" s="9"/>
      <c r="HF6" s="9"/>
      <c r="HG6" s="9"/>
      <c r="HH6" s="9"/>
      <c r="HI6" s="9"/>
      <c r="HJ6" s="9"/>
      <c r="HK6" s="9"/>
      <c r="HL6" s="9"/>
      <c r="HM6" s="9"/>
      <c r="HN6" s="9"/>
      <c r="HO6" s="9"/>
      <c r="HP6" s="9"/>
      <c r="HQ6" s="9"/>
      <c r="HR6" s="9"/>
      <c r="HS6" s="9"/>
      <c r="HT6" s="9"/>
      <c r="HU6" s="9"/>
      <c r="HV6" s="9"/>
      <c r="HW6" s="9"/>
      <c r="HX6" s="9"/>
      <c r="HY6" s="9"/>
      <c r="HZ6" s="9"/>
      <c r="IA6" s="9"/>
      <c r="IB6" s="9"/>
      <c r="IC6" s="9"/>
      <c r="ID6" s="9"/>
      <c r="IE6" s="9"/>
      <c r="IF6" s="9"/>
      <c r="IG6" s="9"/>
      <c r="IH6" s="9"/>
      <c r="II6" s="9"/>
      <c r="IJ6" s="9"/>
      <c r="IK6" s="9"/>
      <c r="IL6" s="9"/>
      <c r="IM6" s="9"/>
      <c r="IN6" s="9"/>
      <c r="IO6" s="9"/>
      <c r="IP6" s="9"/>
      <c r="IQ6" s="9"/>
      <c r="IR6" s="9"/>
      <c r="IS6" s="9"/>
      <c r="IT6" s="9"/>
      <c r="IU6" s="9"/>
      <c r="IV6" s="9"/>
    </row>
    <row r="7" spans="2:256">
      <c r="B7" s="408" t="s">
        <v>357</v>
      </c>
      <c r="C7" s="409">
        <f>(12-MONTH(C6))/12</f>
        <v>0.5</v>
      </c>
    </row>
    <row r="8" spans="2:256">
      <c r="B8" s="273" t="s">
        <v>358</v>
      </c>
      <c r="C8" s="410">
        <v>3</v>
      </c>
    </row>
    <row r="9" spans="2:256">
      <c r="B9" s="408" t="s">
        <v>396</v>
      </c>
      <c r="C9" s="447">
        <f>C7-C10</f>
        <v>0.25</v>
      </c>
    </row>
    <row r="10" spans="2:256">
      <c r="B10" s="408" t="s">
        <v>359</v>
      </c>
      <c r="C10" s="409">
        <f>(12-MONTH(C6)-C8)/12</f>
        <v>0.25</v>
      </c>
    </row>
    <row r="11" spans="2:256" ht="15.75">
      <c r="D11" s="85">
        <f>first_year</f>
        <v>2009</v>
      </c>
      <c r="E11" s="85">
        <f>D11+1</f>
        <v>2010</v>
      </c>
      <c r="F11" s="85">
        <f>E11+1</f>
        <v>2011</v>
      </c>
      <c r="G11" s="85">
        <f>F11+1</f>
        <v>2012</v>
      </c>
      <c r="H11" s="85">
        <f>G11+1</f>
        <v>2013</v>
      </c>
    </row>
    <row r="12" spans="2:256">
      <c r="B12" s="273" t="s">
        <v>418</v>
      </c>
    </row>
    <row r="13" spans="2:256">
      <c r="B13" t="s">
        <v>315</v>
      </c>
      <c r="D13" s="287">
        <v>0.23</v>
      </c>
      <c r="E13" s="287">
        <v>0.31</v>
      </c>
      <c r="F13" s="287">
        <v>0.43</v>
      </c>
      <c r="G13" s="287">
        <v>0.51200000000000001</v>
      </c>
      <c r="H13" s="287">
        <v>0.57999999999999996</v>
      </c>
    </row>
    <row r="14" spans="2:256">
      <c r="B14" t="s">
        <v>466</v>
      </c>
      <c r="D14" s="172">
        <f>1-D13</f>
        <v>0.77</v>
      </c>
      <c r="E14" s="172">
        <f>1-E13</f>
        <v>0.69</v>
      </c>
      <c r="F14" s="172">
        <f>1-F13</f>
        <v>0.57000000000000006</v>
      </c>
      <c r="G14" s="172">
        <f>1-G13</f>
        <v>0.48799999999999999</v>
      </c>
      <c r="H14" s="172">
        <f>1-H13</f>
        <v>0.42000000000000004</v>
      </c>
    </row>
    <row r="16" spans="2:256">
      <c r="B16" t="s">
        <v>433</v>
      </c>
      <c r="D16" s="286">
        <v>14</v>
      </c>
      <c r="E16" s="286">
        <v>18</v>
      </c>
      <c r="F16" s="286">
        <v>25</v>
      </c>
      <c r="G16" s="286">
        <v>60</v>
      </c>
      <c r="H16" s="286">
        <v>85</v>
      </c>
      <c r="I16" s="273"/>
      <c r="K16" s="318"/>
    </row>
    <row r="17" spans="2:11">
      <c r="B17" s="273" t="s">
        <v>434</v>
      </c>
      <c r="D17" s="286">
        <v>156</v>
      </c>
      <c r="E17" s="286">
        <v>156</v>
      </c>
      <c r="F17" s="286">
        <v>156</v>
      </c>
      <c r="G17" s="286">
        <v>156</v>
      </c>
      <c r="H17" s="286">
        <v>156</v>
      </c>
    </row>
    <row r="18" spans="2:11">
      <c r="B18" s="273" t="s">
        <v>435</v>
      </c>
      <c r="D18" s="286">
        <v>4</v>
      </c>
      <c r="E18" s="286">
        <v>4</v>
      </c>
      <c r="F18" s="286">
        <v>2</v>
      </c>
      <c r="G18" s="286">
        <v>3</v>
      </c>
      <c r="H18" s="286">
        <v>4</v>
      </c>
    </row>
    <row r="19" spans="2:11">
      <c r="B19" s="273" t="s">
        <v>436</v>
      </c>
      <c r="D19" s="286">
        <v>989</v>
      </c>
      <c r="E19" s="286">
        <v>989</v>
      </c>
      <c r="F19" s="286">
        <v>989</v>
      </c>
      <c r="G19" s="286">
        <v>989</v>
      </c>
      <c r="H19" s="286">
        <v>989</v>
      </c>
      <c r="K19" s="273"/>
    </row>
    <row r="20" spans="2:11">
      <c r="B20" s="273"/>
      <c r="K20" s="273"/>
    </row>
    <row r="21" spans="2:11">
      <c r="B21" t="s">
        <v>479</v>
      </c>
      <c r="D21" s="350">
        <v>111</v>
      </c>
      <c r="E21" s="350">
        <v>222</v>
      </c>
      <c r="F21" s="350">
        <v>333</v>
      </c>
      <c r="G21" s="350">
        <v>444</v>
      </c>
      <c r="H21" s="350">
        <v>555</v>
      </c>
    </row>
    <row r="22" spans="2:11">
      <c r="B22" t="s">
        <v>480</v>
      </c>
      <c r="D22" s="352">
        <v>0.05</v>
      </c>
      <c r="E22" s="352">
        <v>0.1</v>
      </c>
      <c r="F22" s="352">
        <v>0.15</v>
      </c>
      <c r="G22" s="352">
        <v>0.25</v>
      </c>
      <c r="H22" s="352">
        <v>0.35</v>
      </c>
    </row>
    <row r="23" spans="2:11">
      <c r="D23" s="352"/>
      <c r="E23" s="352"/>
      <c r="F23" s="352"/>
      <c r="G23" s="352"/>
      <c r="H23" s="352"/>
    </row>
    <row r="24" spans="2:11">
      <c r="B24" s="282" t="s">
        <v>460</v>
      </c>
      <c r="D24" s="352"/>
      <c r="E24" s="352"/>
      <c r="F24" s="352"/>
      <c r="G24" s="352"/>
      <c r="H24" s="352"/>
    </row>
    <row r="25" spans="2:11">
      <c r="B25" s="273" t="s">
        <v>467</v>
      </c>
      <c r="D25" s="211">
        <f>D26*D14/D13+(D22*D21)*C10</f>
        <v>1829.3005434782608</v>
      </c>
      <c r="E25" s="211">
        <f>E26*E14/E13+(E22*E21)</f>
        <v>6272.2645161290311</v>
      </c>
      <c r="F25" s="211">
        <f>F26*F14/F13+(F22*F21)</f>
        <v>5219.7174418604664</v>
      </c>
      <c r="G25" s="211">
        <f>G26*G14/G13+(G22*G21)</f>
        <v>9032.25</v>
      </c>
      <c r="H25" s="211">
        <f>H26*H14/H13+(H22*H21)</f>
        <v>9796.3189655172428</v>
      </c>
    </row>
    <row r="26" spans="2:11">
      <c r="B26" s="273" t="s">
        <v>317</v>
      </c>
      <c r="D26" s="211">
        <f>D16*D17*C10</f>
        <v>546</v>
      </c>
      <c r="E26" s="211">
        <f>E16*E17</f>
        <v>2808</v>
      </c>
      <c r="F26" s="211">
        <f>F16*F17</f>
        <v>3900</v>
      </c>
      <c r="G26" s="211">
        <f>G16*G17</f>
        <v>9360</v>
      </c>
      <c r="H26" s="211">
        <f>H16*H17</f>
        <v>13260</v>
      </c>
    </row>
    <row r="27" spans="2:11">
      <c r="B27" s="273" t="s">
        <v>437</v>
      </c>
      <c r="D27" s="211">
        <f>D18*D19</f>
        <v>3956</v>
      </c>
      <c r="E27" s="211">
        <f>E18*E19</f>
        <v>3956</v>
      </c>
      <c r="F27" s="211">
        <f>F18*F19</f>
        <v>1978</v>
      </c>
      <c r="G27" s="211">
        <f>G18*G19</f>
        <v>2967</v>
      </c>
      <c r="H27" s="211">
        <f>H18*H19</f>
        <v>3956</v>
      </c>
    </row>
    <row r="28" spans="2:11">
      <c r="B28" s="282" t="s">
        <v>318</v>
      </c>
      <c r="D28" s="284">
        <f>SUM(D25:D27)</f>
        <v>6331.3005434782608</v>
      </c>
      <c r="E28" s="284">
        <f>SUM(E25:E27)</f>
        <v>13036.264516129031</v>
      </c>
      <c r="F28" s="284">
        <f>SUM(F25:F27)</f>
        <v>11097.717441860466</v>
      </c>
      <c r="G28" s="284">
        <f>SUM(G25:G27)</f>
        <v>21359.25</v>
      </c>
      <c r="H28" s="284">
        <f>SUM(H25:H27)</f>
        <v>27012.318965517243</v>
      </c>
    </row>
    <row r="29" spans="2:11">
      <c r="H29" s="436"/>
    </row>
    <row r="30" spans="2:11" ht="13.5" thickBot="1">
      <c r="B30" s="273" t="s">
        <v>348</v>
      </c>
      <c r="D30" s="218">
        <f>D28/5*150</f>
        <v>189939.01630434784</v>
      </c>
      <c r="E30" s="218">
        <f>E28/5*150</f>
        <v>391087.93548387091</v>
      </c>
      <c r="F30" s="218">
        <f>F28/5*150</f>
        <v>332931.52325581398</v>
      </c>
      <c r="G30" s="218">
        <f>G28/5*150</f>
        <v>640777.5</v>
      </c>
      <c r="H30" s="218">
        <f>H28/5*150</f>
        <v>810369.56896551733</v>
      </c>
    </row>
    <row r="31" spans="2:11" ht="13.5" thickBot="1">
      <c r="B31" s="397" t="s">
        <v>419</v>
      </c>
    </row>
    <row r="32" spans="2:11">
      <c r="B32" s="398" t="s">
        <v>238</v>
      </c>
      <c r="D32" s="300">
        <v>0.9</v>
      </c>
      <c r="E32" s="300">
        <v>0.9</v>
      </c>
      <c r="F32" s="300">
        <v>0.9</v>
      </c>
      <c r="G32" s="300">
        <v>0.9</v>
      </c>
      <c r="H32" s="354">
        <v>0.9</v>
      </c>
    </row>
    <row r="33" spans="2:8">
      <c r="B33" s="399" t="s">
        <v>438</v>
      </c>
      <c r="D33" s="301">
        <v>1</v>
      </c>
      <c r="E33" s="301">
        <v>1</v>
      </c>
      <c r="F33" s="301">
        <v>1</v>
      </c>
      <c r="G33" s="301">
        <v>1</v>
      </c>
      <c r="H33" s="355">
        <v>1</v>
      </c>
    </row>
    <row r="34" spans="2:8">
      <c r="B34" s="400" t="s">
        <v>439</v>
      </c>
      <c r="D34" s="301">
        <v>0.8</v>
      </c>
      <c r="E34" s="301">
        <v>0.8</v>
      </c>
      <c r="F34" s="301">
        <v>0.8</v>
      </c>
      <c r="G34" s="301">
        <v>0.8</v>
      </c>
      <c r="H34" s="355">
        <v>0.8</v>
      </c>
    </row>
    <row r="35" spans="2:8">
      <c r="B35" s="399" t="s">
        <v>440</v>
      </c>
      <c r="D35" s="301">
        <v>0.8</v>
      </c>
      <c r="E35" s="301">
        <v>0.8</v>
      </c>
      <c r="F35" s="301">
        <v>0.8</v>
      </c>
      <c r="G35" s="301">
        <v>0.8</v>
      </c>
      <c r="H35" s="355">
        <v>0.8</v>
      </c>
    </row>
    <row r="36" spans="2:8">
      <c r="B36" s="399" t="s">
        <v>441</v>
      </c>
      <c r="D36" s="301">
        <v>1</v>
      </c>
      <c r="E36" s="301">
        <v>1</v>
      </c>
      <c r="F36" s="301">
        <v>1</v>
      </c>
      <c r="G36" s="301">
        <v>1</v>
      </c>
      <c r="H36" s="355">
        <v>1</v>
      </c>
    </row>
    <row r="37" spans="2:8">
      <c r="B37" s="399" t="s">
        <v>239</v>
      </c>
      <c r="D37" s="301">
        <v>0.1</v>
      </c>
      <c r="E37" s="301">
        <v>0.1</v>
      </c>
      <c r="F37" s="301">
        <v>0.1</v>
      </c>
      <c r="G37" s="301">
        <v>0.1</v>
      </c>
      <c r="H37" s="355">
        <v>0.1</v>
      </c>
    </row>
    <row r="38" spans="2:8">
      <c r="B38" s="399" t="s">
        <v>420</v>
      </c>
      <c r="D38" s="301">
        <v>1</v>
      </c>
      <c r="E38" s="301">
        <v>1</v>
      </c>
      <c r="F38" s="301">
        <v>1</v>
      </c>
      <c r="G38" s="301">
        <v>1</v>
      </c>
      <c r="H38" s="355">
        <v>1</v>
      </c>
    </row>
    <row r="39" spans="2:8">
      <c r="B39" s="399" t="s">
        <v>421</v>
      </c>
      <c r="D39" s="301">
        <v>0.9</v>
      </c>
      <c r="E39" s="301">
        <v>0.9</v>
      </c>
      <c r="F39" s="301">
        <v>0.9</v>
      </c>
      <c r="G39" s="301">
        <v>0.9</v>
      </c>
      <c r="H39" s="355">
        <v>0.9</v>
      </c>
    </row>
    <row r="40" spans="2:8">
      <c r="B40" s="400" t="s">
        <v>521</v>
      </c>
      <c r="D40" s="301">
        <v>0.8</v>
      </c>
      <c r="E40" s="301">
        <v>0.8</v>
      </c>
      <c r="F40" s="301">
        <v>0.8</v>
      </c>
      <c r="G40" s="301">
        <v>0.8</v>
      </c>
      <c r="H40" s="355">
        <v>0.8</v>
      </c>
    </row>
    <row r="41" spans="2:8">
      <c r="B41" s="400" t="s">
        <v>422</v>
      </c>
      <c r="D41" s="301">
        <v>0.8</v>
      </c>
      <c r="E41" s="301">
        <v>0.8</v>
      </c>
      <c r="F41" s="301">
        <v>0.8</v>
      </c>
      <c r="G41" s="301">
        <v>0.8</v>
      </c>
      <c r="H41" s="355">
        <v>0.8</v>
      </c>
    </row>
    <row r="42" spans="2:8">
      <c r="B42" s="399" t="s">
        <v>423</v>
      </c>
      <c r="D42" s="301">
        <v>0.8</v>
      </c>
      <c r="E42" s="301">
        <v>0.8</v>
      </c>
      <c r="F42" s="301">
        <v>0.8</v>
      </c>
      <c r="G42" s="301">
        <v>0.8</v>
      </c>
      <c r="H42" s="355">
        <v>0.8</v>
      </c>
    </row>
    <row r="43" spans="2:8">
      <c r="B43" s="399" t="s">
        <v>241</v>
      </c>
      <c r="D43" s="301">
        <v>0.9</v>
      </c>
      <c r="E43" s="301">
        <v>0.9</v>
      </c>
      <c r="F43" s="301">
        <v>0.9</v>
      </c>
      <c r="G43" s="301">
        <v>0.9</v>
      </c>
      <c r="H43" s="355">
        <v>0.9</v>
      </c>
    </row>
    <row r="44" spans="2:8">
      <c r="B44" s="399" t="s">
        <v>243</v>
      </c>
      <c r="D44" s="301">
        <v>0.9</v>
      </c>
      <c r="E44" s="301">
        <v>0.9</v>
      </c>
      <c r="F44" s="301">
        <v>0.9</v>
      </c>
      <c r="G44" s="301">
        <v>0.9</v>
      </c>
      <c r="H44" s="355">
        <v>0.9</v>
      </c>
    </row>
    <row r="45" spans="2:8">
      <c r="B45" s="400" t="s">
        <v>244</v>
      </c>
      <c r="D45" s="301">
        <v>1</v>
      </c>
      <c r="E45" s="301">
        <v>1</v>
      </c>
      <c r="F45" s="301">
        <v>1</v>
      </c>
      <c r="G45" s="301">
        <v>1</v>
      </c>
      <c r="H45" s="355">
        <v>1</v>
      </c>
    </row>
    <row r="46" spans="2:8">
      <c r="B46" s="400" t="s">
        <v>245</v>
      </c>
      <c r="D46" s="301">
        <v>0.8</v>
      </c>
      <c r="E46" s="301">
        <v>0.8</v>
      </c>
      <c r="F46" s="301">
        <v>0.8</v>
      </c>
      <c r="G46" s="301">
        <v>0.8</v>
      </c>
      <c r="H46" s="355">
        <v>0.8</v>
      </c>
    </row>
    <row r="47" spans="2:8" ht="13.5" thickBot="1">
      <c r="B47" s="401" t="s">
        <v>246</v>
      </c>
      <c r="D47" s="302">
        <v>0.9</v>
      </c>
      <c r="E47" s="302">
        <v>0.9</v>
      </c>
      <c r="F47" s="302">
        <v>0.9</v>
      </c>
      <c r="G47" s="302">
        <v>0.9</v>
      </c>
      <c r="H47" s="356">
        <v>0.9</v>
      </c>
    </row>
    <row r="48" spans="2:8" ht="13.5" thickBot="1">
      <c r="B48" s="397" t="s">
        <v>424</v>
      </c>
    </row>
    <row r="49" spans="2:8">
      <c r="B49" s="402" t="s">
        <v>442</v>
      </c>
      <c r="D49" s="300">
        <v>0.9</v>
      </c>
      <c r="E49" s="300">
        <v>0.9</v>
      </c>
      <c r="F49" s="300">
        <v>0.9</v>
      </c>
      <c r="G49" s="300">
        <v>0.9</v>
      </c>
      <c r="H49" s="354">
        <v>0.9</v>
      </c>
    </row>
    <row r="50" spans="2:8">
      <c r="B50" s="399" t="s">
        <v>463</v>
      </c>
      <c r="D50" s="301">
        <v>0.9</v>
      </c>
      <c r="E50" s="301">
        <v>0.9</v>
      </c>
      <c r="F50" s="301">
        <v>0.9</v>
      </c>
      <c r="G50" s="301">
        <v>0.9</v>
      </c>
      <c r="H50" s="355">
        <v>0.9</v>
      </c>
    </row>
    <row r="51" spans="2:8">
      <c r="B51" s="399" t="s">
        <v>464</v>
      </c>
      <c r="D51" s="301">
        <v>0.9</v>
      </c>
      <c r="E51" s="301">
        <v>0.9</v>
      </c>
      <c r="F51" s="301">
        <v>0.9</v>
      </c>
      <c r="G51" s="301">
        <v>0.9</v>
      </c>
      <c r="H51" s="355">
        <v>0.9</v>
      </c>
    </row>
    <row r="52" spans="2:8">
      <c r="B52" s="399" t="s">
        <v>247</v>
      </c>
      <c r="D52" s="301">
        <v>0.8</v>
      </c>
      <c r="E52" s="301">
        <v>0.8</v>
      </c>
      <c r="F52" s="301">
        <v>0.8</v>
      </c>
      <c r="G52" s="301">
        <v>0.8</v>
      </c>
      <c r="H52" s="355">
        <v>0.8</v>
      </c>
    </row>
    <row r="53" spans="2:8">
      <c r="B53" s="399" t="s">
        <v>248</v>
      </c>
      <c r="D53" s="301">
        <v>0.2</v>
      </c>
      <c r="E53" s="301">
        <v>0.2</v>
      </c>
      <c r="F53" s="301">
        <v>0.2</v>
      </c>
      <c r="G53" s="301">
        <v>0.2</v>
      </c>
      <c r="H53" s="355">
        <v>0.2</v>
      </c>
    </row>
    <row r="54" spans="2:8">
      <c r="B54" s="400" t="s">
        <v>249</v>
      </c>
      <c r="D54" s="301">
        <v>0.9</v>
      </c>
      <c r="E54" s="301">
        <v>0.9</v>
      </c>
      <c r="F54" s="301">
        <v>0.9</v>
      </c>
      <c r="G54" s="301">
        <v>0.9</v>
      </c>
      <c r="H54" s="355">
        <v>0.9</v>
      </c>
    </row>
    <row r="55" spans="2:8">
      <c r="B55" s="400" t="s">
        <v>425</v>
      </c>
      <c r="D55" s="301">
        <v>0.8</v>
      </c>
      <c r="E55" s="301">
        <v>0.8</v>
      </c>
      <c r="F55" s="301">
        <v>0.8</v>
      </c>
      <c r="G55" s="301">
        <v>0.8</v>
      </c>
      <c r="H55" s="355">
        <v>0.8</v>
      </c>
    </row>
    <row r="56" spans="2:8">
      <c r="B56" s="399" t="s">
        <v>426</v>
      </c>
      <c r="D56" s="301">
        <v>0.9</v>
      </c>
      <c r="E56" s="301">
        <v>0.9</v>
      </c>
      <c r="F56" s="301">
        <v>0.9</v>
      </c>
      <c r="G56" s="301">
        <v>0.9</v>
      </c>
      <c r="H56" s="355">
        <v>0.9</v>
      </c>
    </row>
    <row r="57" spans="2:8" ht="13.5" thickBot="1">
      <c r="B57" s="401" t="s">
        <v>522</v>
      </c>
      <c r="D57" s="302">
        <v>0.1</v>
      </c>
      <c r="E57" s="302">
        <v>0.1</v>
      </c>
      <c r="F57" s="302">
        <v>0.1</v>
      </c>
      <c r="G57" s="302">
        <v>0.1</v>
      </c>
      <c r="H57" s="356">
        <v>0.1</v>
      </c>
    </row>
    <row r="58" spans="2:8" ht="13.5" thickBot="1">
      <c r="B58" s="385" t="s">
        <v>250</v>
      </c>
    </row>
    <row r="59" spans="2:8">
      <c r="B59" s="402" t="s">
        <v>251</v>
      </c>
      <c r="D59" s="300">
        <v>0.2</v>
      </c>
      <c r="E59" s="300">
        <v>0.2</v>
      </c>
      <c r="F59" s="300">
        <v>0.2</v>
      </c>
      <c r="G59" s="300">
        <v>0.2</v>
      </c>
      <c r="H59" s="354">
        <v>0.2</v>
      </c>
    </row>
    <row r="60" spans="2:8">
      <c r="B60" s="400" t="s">
        <v>252</v>
      </c>
      <c r="D60" s="301">
        <v>0.2</v>
      </c>
      <c r="E60" s="301">
        <v>0.2</v>
      </c>
      <c r="F60" s="301">
        <v>0.2</v>
      </c>
      <c r="G60" s="301">
        <v>0.2</v>
      </c>
      <c r="H60" s="355">
        <v>0.2</v>
      </c>
    </row>
    <row r="61" spans="2:8">
      <c r="B61" s="400" t="s">
        <v>253</v>
      </c>
      <c r="D61" s="301">
        <v>0.2</v>
      </c>
      <c r="E61" s="301">
        <v>0.2</v>
      </c>
      <c r="F61" s="301">
        <v>0.2</v>
      </c>
      <c r="G61" s="301">
        <v>0.2</v>
      </c>
      <c r="H61" s="355">
        <v>0.2</v>
      </c>
    </row>
    <row r="62" spans="2:8">
      <c r="B62" s="400" t="s">
        <v>326</v>
      </c>
      <c r="D62" s="301">
        <v>0.9</v>
      </c>
      <c r="E62" s="301">
        <v>0.9</v>
      </c>
      <c r="F62" s="301">
        <v>0.9</v>
      </c>
      <c r="G62" s="301">
        <v>0.9</v>
      </c>
      <c r="H62" s="355">
        <v>0.9</v>
      </c>
    </row>
    <row r="63" spans="2:8">
      <c r="B63" s="399" t="s">
        <v>254</v>
      </c>
      <c r="D63" s="301">
        <v>0.2</v>
      </c>
      <c r="E63" s="301">
        <v>0.2</v>
      </c>
      <c r="F63" s="301">
        <v>0.2</v>
      </c>
      <c r="G63" s="301">
        <v>0.2</v>
      </c>
      <c r="H63" s="355">
        <v>0.2</v>
      </c>
    </row>
    <row r="64" spans="2:8">
      <c r="B64" s="399" t="s">
        <v>255</v>
      </c>
      <c r="D64" s="301">
        <v>0.9</v>
      </c>
      <c r="E64" s="301">
        <v>0.9</v>
      </c>
      <c r="F64" s="301">
        <v>0.9</v>
      </c>
      <c r="G64" s="301">
        <v>0.9</v>
      </c>
      <c r="H64" s="355">
        <v>0.9</v>
      </c>
    </row>
    <row r="65" spans="2:8">
      <c r="B65" s="399" t="s">
        <v>256</v>
      </c>
      <c r="D65" s="301">
        <v>0.8</v>
      </c>
      <c r="E65" s="301">
        <v>0.8</v>
      </c>
      <c r="F65" s="301">
        <v>0.8</v>
      </c>
      <c r="G65" s="301">
        <v>0.8</v>
      </c>
      <c r="H65" s="355">
        <v>0.8</v>
      </c>
    </row>
    <row r="66" spans="2:8">
      <c r="B66" s="400" t="s">
        <v>444</v>
      </c>
      <c r="D66" s="301">
        <v>0.9</v>
      </c>
      <c r="E66" s="301">
        <v>0.9</v>
      </c>
      <c r="F66" s="301">
        <v>0.9</v>
      </c>
      <c r="G66" s="301">
        <v>0.9</v>
      </c>
      <c r="H66" s="355">
        <v>0.9</v>
      </c>
    </row>
    <row r="67" spans="2:8" ht="13.5" thickBot="1">
      <c r="B67" s="401" t="s">
        <v>257</v>
      </c>
      <c r="D67" s="302">
        <v>0.1</v>
      </c>
      <c r="E67" s="302">
        <v>0.1</v>
      </c>
      <c r="F67" s="302">
        <v>0.1</v>
      </c>
      <c r="G67" s="302">
        <v>0.1</v>
      </c>
      <c r="H67" s="356">
        <v>0.1</v>
      </c>
    </row>
    <row r="68" spans="2:8" ht="13.5" thickBot="1">
      <c r="B68" s="385" t="s">
        <v>323</v>
      </c>
    </row>
    <row r="69" spans="2:8">
      <c r="B69" s="403" t="s">
        <v>523</v>
      </c>
      <c r="D69" s="300">
        <v>0.1</v>
      </c>
      <c r="E69" s="300">
        <v>0.1</v>
      </c>
      <c r="F69" s="300">
        <v>0.1</v>
      </c>
      <c r="G69" s="300">
        <v>0.1</v>
      </c>
      <c r="H69" s="354">
        <v>0.1</v>
      </c>
    </row>
    <row r="70" spans="2:8">
      <c r="B70" s="404" t="s">
        <v>239</v>
      </c>
      <c r="D70" s="301">
        <v>0.1</v>
      </c>
      <c r="E70" s="301">
        <v>0.1</v>
      </c>
      <c r="F70" s="301">
        <v>0.1</v>
      </c>
      <c r="G70" s="301">
        <v>0.1</v>
      </c>
      <c r="H70" s="355">
        <v>0.1</v>
      </c>
    </row>
    <row r="71" spans="2:8">
      <c r="B71" s="404" t="s">
        <v>242</v>
      </c>
      <c r="D71" s="301">
        <v>0.1</v>
      </c>
      <c r="E71" s="301">
        <v>0.1</v>
      </c>
      <c r="F71" s="301">
        <v>0.1</v>
      </c>
      <c r="G71" s="301">
        <v>0.1</v>
      </c>
      <c r="H71" s="355">
        <v>0.1</v>
      </c>
    </row>
    <row r="72" spans="2:8">
      <c r="B72" s="404" t="s">
        <v>299</v>
      </c>
      <c r="D72" s="301">
        <v>0.1</v>
      </c>
      <c r="E72" s="301">
        <v>0.1</v>
      </c>
      <c r="F72" s="301">
        <v>0.1</v>
      </c>
      <c r="G72" s="301">
        <v>0.1</v>
      </c>
      <c r="H72" s="355">
        <v>0.1</v>
      </c>
    </row>
    <row r="73" spans="2:8">
      <c r="B73" s="404" t="s">
        <v>446</v>
      </c>
      <c r="D73" s="301">
        <v>0.1</v>
      </c>
      <c r="E73" s="301">
        <v>0.1</v>
      </c>
      <c r="F73" s="301">
        <v>0.1</v>
      </c>
      <c r="G73" s="301">
        <v>0.1</v>
      </c>
      <c r="H73" s="355">
        <v>0.1</v>
      </c>
    </row>
    <row r="74" spans="2:8">
      <c r="B74" s="404" t="s">
        <v>302</v>
      </c>
      <c r="D74" s="301">
        <v>0.1</v>
      </c>
      <c r="E74" s="301">
        <v>0.1</v>
      </c>
      <c r="F74" s="301">
        <v>0.1</v>
      </c>
      <c r="G74" s="301">
        <v>0.1</v>
      </c>
      <c r="H74" s="355">
        <v>0.1</v>
      </c>
    </row>
    <row r="75" spans="2:8">
      <c r="B75" s="404" t="s">
        <v>303</v>
      </c>
      <c r="D75" s="301">
        <v>0.1</v>
      </c>
      <c r="E75" s="301">
        <v>0.1</v>
      </c>
      <c r="F75" s="301">
        <v>0.1</v>
      </c>
      <c r="G75" s="301">
        <v>0.1</v>
      </c>
      <c r="H75" s="355">
        <v>0.1</v>
      </c>
    </row>
    <row r="76" spans="2:8">
      <c r="B76" s="404" t="s">
        <v>304</v>
      </c>
      <c r="D76" s="301">
        <v>0.1</v>
      </c>
      <c r="E76" s="301">
        <v>0.1</v>
      </c>
      <c r="F76" s="301">
        <v>0.1</v>
      </c>
      <c r="G76" s="301">
        <v>0.1</v>
      </c>
      <c r="H76" s="355">
        <v>0.1</v>
      </c>
    </row>
    <row r="77" spans="2:8" ht="13.5" thickBot="1">
      <c r="B77" s="404" t="s">
        <v>306</v>
      </c>
      <c r="D77" s="302">
        <v>0.1</v>
      </c>
      <c r="E77" s="302">
        <v>0.1</v>
      </c>
      <c r="F77" s="302">
        <v>0.1</v>
      </c>
      <c r="G77" s="302">
        <v>0.1</v>
      </c>
      <c r="H77" s="356">
        <v>0.1</v>
      </c>
    </row>
    <row r="78" spans="2:8" ht="13.5" thickBot="1">
      <c r="B78" s="405" t="s">
        <v>307</v>
      </c>
      <c r="D78" s="302">
        <v>0.1</v>
      </c>
      <c r="E78" s="302">
        <v>0.1</v>
      </c>
      <c r="F78" s="302">
        <v>0.1</v>
      </c>
      <c r="G78" s="302">
        <v>0.1</v>
      </c>
      <c r="H78" s="356">
        <v>0.1</v>
      </c>
    </row>
    <row r="79" spans="2:8" ht="13.5" thickBot="1">
      <c r="B79" s="406" t="s">
        <v>312</v>
      </c>
      <c r="D79" s="302">
        <v>0.1</v>
      </c>
      <c r="E79" s="302">
        <v>0.1</v>
      </c>
      <c r="F79" s="302">
        <v>0.1</v>
      </c>
      <c r="G79" s="302">
        <v>0.1</v>
      </c>
      <c r="H79" s="356">
        <v>0.1</v>
      </c>
    </row>
    <row r="80" spans="2:8" ht="13.5" thickBot="1">
      <c r="B80" s="404" t="s">
        <v>313</v>
      </c>
      <c r="D80" s="302">
        <v>0.1</v>
      </c>
      <c r="E80" s="302">
        <v>0.1</v>
      </c>
      <c r="F80" s="302">
        <v>0.1</v>
      </c>
      <c r="G80" s="302">
        <v>0.1</v>
      </c>
      <c r="H80" s="356">
        <v>0.1</v>
      </c>
    </row>
    <row r="81" spans="2:8" ht="13.5" thickBot="1">
      <c r="B81" s="405" t="s">
        <v>311</v>
      </c>
      <c r="D81" s="302">
        <v>0.1</v>
      </c>
      <c r="E81" s="302">
        <v>0.1</v>
      </c>
      <c r="F81" s="302">
        <v>0.1</v>
      </c>
      <c r="G81" s="302">
        <v>0.1</v>
      </c>
      <c r="H81" s="356">
        <v>0.1</v>
      </c>
    </row>
    <row r="83" spans="2:8">
      <c r="B83" s="273" t="s">
        <v>427</v>
      </c>
      <c r="D83" s="211">
        <f>D28/360</f>
        <v>17.58694595410628</v>
      </c>
      <c r="E83" s="211">
        <f>E28/360</f>
        <v>36.211845878136195</v>
      </c>
      <c r="F83" s="211">
        <f>F28/360</f>
        <v>30.826992894056851</v>
      </c>
      <c r="G83" s="211">
        <f>G28/360</f>
        <v>59.331249999999997</v>
      </c>
      <c r="H83" s="211">
        <f>H28/360</f>
        <v>75.034219348659008</v>
      </c>
    </row>
    <row r="84" spans="2:8">
      <c r="B84" s="273" t="s">
        <v>322</v>
      </c>
      <c r="D84" s="172">
        <v>0.8</v>
      </c>
      <c r="E84" s="172">
        <v>0.8</v>
      </c>
      <c r="F84" s="172">
        <v>0.8</v>
      </c>
      <c r="G84" s="172">
        <v>0.8</v>
      </c>
      <c r="H84" s="172">
        <v>0.8</v>
      </c>
    </row>
    <row r="85" spans="2:8">
      <c r="B85" s="273" t="s">
        <v>428</v>
      </c>
      <c r="D85" s="211">
        <f>ROUNDUP(D83/3*D84,0)</f>
        <v>5</v>
      </c>
      <c r="E85" s="211">
        <f>ROUNDUP(E83/3*E84,0)</f>
        <v>10</v>
      </c>
      <c r="F85" s="211">
        <f>ROUNDUP(F83/3*F84,0)</f>
        <v>9</v>
      </c>
      <c r="G85" s="211">
        <f>ROUNDUP(G83/3*G84,0)</f>
        <v>16</v>
      </c>
      <c r="H85" s="211">
        <f>ROUNDUP(H83/3*H84,0)</f>
        <v>21</v>
      </c>
    </row>
    <row r="86" spans="2:8">
      <c r="B86" s="278"/>
    </row>
    <row r="87" spans="2:8">
      <c r="B87" s="285" t="s">
        <v>316</v>
      </c>
    </row>
    <row r="88" spans="2:8">
      <c r="B88" s="273" t="s">
        <v>319</v>
      </c>
      <c r="D88" s="286">
        <v>2</v>
      </c>
    </row>
    <row r="89" spans="2:8">
      <c r="B89" s="273" t="s">
        <v>320</v>
      </c>
      <c r="D89" s="286">
        <v>200</v>
      </c>
    </row>
    <row r="90" spans="2:8">
      <c r="B90" s="273" t="s">
        <v>321</v>
      </c>
      <c r="D90">
        <f>D89*D88</f>
        <v>400</v>
      </c>
    </row>
    <row r="91" spans="2:8">
      <c r="B91" s="273" t="s">
        <v>328</v>
      </c>
      <c r="D91" s="314">
        <v>1.72</v>
      </c>
    </row>
    <row r="92" spans="2:8">
      <c r="B92" s="273" t="s">
        <v>461</v>
      </c>
      <c r="D92" s="286">
        <v>5</v>
      </c>
      <c r="E92" s="286">
        <v>10</v>
      </c>
      <c r="F92" s="286">
        <v>15</v>
      </c>
      <c r="G92" s="286">
        <v>30</v>
      </c>
      <c r="H92" s="286">
        <v>40</v>
      </c>
    </row>
    <row r="93" spans="2:8">
      <c r="B93" s="273" t="s">
        <v>324</v>
      </c>
      <c r="D93" s="286">
        <v>4</v>
      </c>
    </row>
    <row r="94" spans="2:8">
      <c r="B94" s="273" t="s">
        <v>325</v>
      </c>
      <c r="D94" s="286">
        <v>3</v>
      </c>
    </row>
    <row r="95" spans="2:8">
      <c r="B95" s="273" t="s">
        <v>327</v>
      </c>
      <c r="D95" s="286">
        <v>5</v>
      </c>
    </row>
    <row r="96" spans="2:8">
      <c r="B96" s="273" t="s">
        <v>329</v>
      </c>
      <c r="D96" s="315">
        <v>25</v>
      </c>
    </row>
    <row r="97" spans="2:6">
      <c r="B97" s="273" t="s">
        <v>330</v>
      </c>
      <c r="D97" s="286">
        <v>20</v>
      </c>
    </row>
    <row r="98" spans="2:6">
      <c r="B98" s="273" t="s">
        <v>462</v>
      </c>
      <c r="D98" s="344">
        <v>0.1</v>
      </c>
    </row>
    <row r="99" spans="2:6">
      <c r="B99" s="273" t="s">
        <v>351</v>
      </c>
      <c r="D99" s="344">
        <v>0.15</v>
      </c>
    </row>
    <row r="100" spans="2:6">
      <c r="B100" s="273"/>
      <c r="D100" s="344"/>
    </row>
    <row r="101" spans="2:6">
      <c r="B101" s="273" t="s">
        <v>481</v>
      </c>
      <c r="D101" s="351">
        <v>6400</v>
      </c>
    </row>
    <row r="102" spans="2:6">
      <c r="B102" s="273" t="s">
        <v>482</v>
      </c>
      <c r="D102" s="352">
        <v>0.1</v>
      </c>
    </row>
    <row r="103" spans="2:6">
      <c r="B103" s="273" t="s">
        <v>447</v>
      </c>
      <c r="D103" s="351">
        <v>30000</v>
      </c>
      <c r="F103" s="318"/>
    </row>
    <row r="104" spans="2:6">
      <c r="B104" s="273" t="s">
        <v>448</v>
      </c>
      <c r="D104" s="351">
        <v>8900</v>
      </c>
      <c r="E104" s="411"/>
    </row>
    <row r="106" spans="2:6">
      <c r="B106" t="s">
        <v>190</v>
      </c>
      <c r="D106" s="171">
        <v>9.0937198800000001</v>
      </c>
      <c r="E106" t="s">
        <v>531</v>
      </c>
    </row>
    <row r="108" spans="2:6">
      <c r="B108" s="282" t="s">
        <v>352</v>
      </c>
    </row>
    <row r="109" spans="2:6" ht="13.5" thickBot="1">
      <c r="B109" s="298" t="s">
        <v>301</v>
      </c>
      <c r="C109" s="298" t="s">
        <v>300</v>
      </c>
    </row>
    <row r="110" spans="2:6" ht="13.5" thickBot="1">
      <c r="B110" s="299" t="s">
        <v>238</v>
      </c>
      <c r="C110" s="464">
        <v>50</v>
      </c>
    </row>
    <row r="111" spans="2:6" ht="13.5" thickBot="1">
      <c r="B111" s="288" t="s">
        <v>438</v>
      </c>
      <c r="C111" s="464">
        <v>50</v>
      </c>
    </row>
    <row r="112" spans="2:6" ht="13.5" thickBot="1">
      <c r="B112" s="289" t="s">
        <v>439</v>
      </c>
      <c r="C112" s="464">
        <v>50</v>
      </c>
    </row>
    <row r="113" spans="2:3" ht="13.5" thickBot="1">
      <c r="B113" s="288" t="s">
        <v>440</v>
      </c>
      <c r="C113" s="464">
        <v>50</v>
      </c>
    </row>
    <row r="114" spans="2:3" ht="13.5" thickBot="1">
      <c r="B114" s="288" t="s">
        <v>441</v>
      </c>
      <c r="C114" s="464">
        <v>50</v>
      </c>
    </row>
    <row r="115" spans="2:3" ht="13.5" thickBot="1">
      <c r="B115" s="288" t="s">
        <v>239</v>
      </c>
      <c r="C115" s="464">
        <v>50</v>
      </c>
    </row>
    <row r="116" spans="2:3" ht="13.5" thickBot="1">
      <c r="B116" s="288" t="s">
        <v>420</v>
      </c>
      <c r="C116" s="464">
        <v>50</v>
      </c>
    </row>
    <row r="117" spans="2:3" ht="13.5" thickBot="1">
      <c r="B117" s="288" t="s">
        <v>421</v>
      </c>
      <c r="C117" s="464">
        <v>50</v>
      </c>
    </row>
    <row r="118" spans="2:3" ht="13.5" thickBot="1">
      <c r="B118" s="289" t="s">
        <v>240</v>
      </c>
      <c r="C118" s="464">
        <v>50</v>
      </c>
    </row>
    <row r="119" spans="2:3" ht="13.5" thickBot="1">
      <c r="B119" s="289" t="s">
        <v>422</v>
      </c>
      <c r="C119" s="464">
        <v>50</v>
      </c>
    </row>
    <row r="120" spans="2:3" ht="13.5" thickBot="1">
      <c r="B120" s="288" t="s">
        <v>423</v>
      </c>
      <c r="C120" s="464">
        <v>50</v>
      </c>
    </row>
    <row r="121" spans="2:3" ht="13.5" thickBot="1">
      <c r="B121" s="288" t="s">
        <v>241</v>
      </c>
      <c r="C121" s="464">
        <v>50</v>
      </c>
    </row>
    <row r="122" spans="2:3" ht="13.5" thickBot="1">
      <c r="B122" s="288" t="s">
        <v>243</v>
      </c>
      <c r="C122" s="464">
        <v>50</v>
      </c>
    </row>
    <row r="123" spans="2:3" ht="13.5" thickBot="1">
      <c r="B123" s="289" t="s">
        <v>244</v>
      </c>
      <c r="C123" s="464">
        <v>50</v>
      </c>
    </row>
    <row r="124" spans="2:3" ht="13.5" thickBot="1">
      <c r="B124" s="289" t="s">
        <v>245</v>
      </c>
      <c r="C124" s="464">
        <v>50</v>
      </c>
    </row>
    <row r="125" spans="2:3" ht="13.5" thickBot="1">
      <c r="B125" s="290" t="s">
        <v>246</v>
      </c>
      <c r="C125" s="464">
        <v>50</v>
      </c>
    </row>
    <row r="126" spans="2:3" ht="13.5" thickBot="1">
      <c r="B126" s="387"/>
      <c r="C126" s="465"/>
    </row>
    <row r="127" spans="2:3" ht="13.5" thickBot="1">
      <c r="B127" s="291" t="s">
        <v>442</v>
      </c>
      <c r="C127" s="464">
        <v>50</v>
      </c>
    </row>
    <row r="128" spans="2:3" ht="13.5" thickBot="1">
      <c r="B128" s="292" t="s">
        <v>463</v>
      </c>
      <c r="C128" s="464">
        <v>50</v>
      </c>
    </row>
    <row r="129" spans="2:3" ht="13.5" thickBot="1">
      <c r="B129" s="292" t="s">
        <v>464</v>
      </c>
      <c r="C129" s="464">
        <v>50</v>
      </c>
    </row>
    <row r="130" spans="2:3" ht="13.5" thickBot="1">
      <c r="B130" s="292" t="s">
        <v>247</v>
      </c>
      <c r="C130" s="464">
        <v>50</v>
      </c>
    </row>
    <row r="131" spans="2:3" ht="13.5" thickBot="1">
      <c r="B131" s="292" t="s">
        <v>248</v>
      </c>
      <c r="C131" s="464">
        <v>50</v>
      </c>
    </row>
    <row r="132" spans="2:3" ht="13.5" thickBot="1">
      <c r="B132" s="293" t="s">
        <v>249</v>
      </c>
      <c r="C132" s="464">
        <v>50</v>
      </c>
    </row>
    <row r="133" spans="2:3" ht="13.5" thickBot="1">
      <c r="B133" s="293" t="s">
        <v>425</v>
      </c>
      <c r="C133" s="464">
        <v>50</v>
      </c>
    </row>
    <row r="134" spans="2:3" ht="13.5" thickBot="1">
      <c r="B134" s="292" t="s">
        <v>426</v>
      </c>
      <c r="C134" s="464">
        <v>50</v>
      </c>
    </row>
    <row r="135" spans="2:3" ht="13.5" thickBot="1">
      <c r="B135" s="312" t="s">
        <v>443</v>
      </c>
      <c r="C135" s="464">
        <v>50</v>
      </c>
    </row>
    <row r="136" spans="2:3" ht="13.5" thickBot="1">
      <c r="B136" s="388"/>
      <c r="C136" s="465"/>
    </row>
    <row r="137" spans="2:3" ht="13.5" thickBot="1">
      <c r="B137" s="294" t="s">
        <v>251</v>
      </c>
      <c r="C137" s="464">
        <v>50</v>
      </c>
    </row>
    <row r="138" spans="2:3" ht="13.5" thickBot="1">
      <c r="B138" s="295" t="s">
        <v>252</v>
      </c>
      <c r="C138" s="464">
        <v>50</v>
      </c>
    </row>
    <row r="139" spans="2:3" ht="13.5" thickBot="1">
      <c r="B139" s="295" t="s">
        <v>253</v>
      </c>
      <c r="C139" s="464">
        <v>50</v>
      </c>
    </row>
    <row r="140" spans="2:3" ht="13.5" thickBot="1">
      <c r="B140" s="295" t="s">
        <v>326</v>
      </c>
      <c r="C140" s="464">
        <v>50</v>
      </c>
    </row>
    <row r="141" spans="2:3" ht="13.5" thickBot="1">
      <c r="B141" s="296" t="s">
        <v>254</v>
      </c>
      <c r="C141" s="464">
        <v>50</v>
      </c>
    </row>
    <row r="142" spans="2:3" ht="13.5" thickBot="1">
      <c r="B142" s="296" t="s">
        <v>255</v>
      </c>
      <c r="C142" s="464">
        <v>50</v>
      </c>
    </row>
    <row r="143" spans="2:3" ht="13.5" thickBot="1">
      <c r="B143" s="296" t="s">
        <v>256</v>
      </c>
      <c r="C143" s="464">
        <v>50</v>
      </c>
    </row>
    <row r="144" spans="2:3" ht="13.5" thickBot="1">
      <c r="B144" s="295" t="s">
        <v>444</v>
      </c>
      <c r="C144" s="464">
        <v>50</v>
      </c>
    </row>
    <row r="145" spans="2:3" ht="13.5" thickBot="1">
      <c r="B145" s="297" t="s">
        <v>257</v>
      </c>
      <c r="C145" s="464">
        <v>50</v>
      </c>
    </row>
    <row r="146" spans="2:3" ht="13.5" thickBot="1">
      <c r="B146" s="387"/>
      <c r="C146" s="465"/>
    </row>
    <row r="147" spans="2:3" ht="13.5" thickBot="1">
      <c r="B147" s="304" t="s">
        <v>445</v>
      </c>
      <c r="C147" s="464">
        <v>50</v>
      </c>
    </row>
    <row r="148" spans="2:3" ht="13.5" thickBot="1">
      <c r="B148" s="279" t="s">
        <v>239</v>
      </c>
      <c r="C148" s="464">
        <v>50</v>
      </c>
    </row>
    <row r="149" spans="2:3" ht="13.5" thickBot="1">
      <c r="B149" s="279" t="s">
        <v>242</v>
      </c>
      <c r="C149" s="464">
        <v>50</v>
      </c>
    </row>
    <row r="150" spans="2:3" ht="13.5" thickBot="1">
      <c r="B150" s="279" t="s">
        <v>299</v>
      </c>
      <c r="C150" s="464">
        <v>50</v>
      </c>
    </row>
    <row r="151" spans="2:3" ht="13.5" thickBot="1">
      <c r="B151" s="279" t="s">
        <v>446</v>
      </c>
      <c r="C151" s="464">
        <v>50</v>
      </c>
    </row>
    <row r="152" spans="2:3" ht="13.5" thickBot="1">
      <c r="B152" s="279" t="s">
        <v>302</v>
      </c>
      <c r="C152" s="464">
        <v>50</v>
      </c>
    </row>
    <row r="153" spans="2:3" ht="13.5" thickBot="1">
      <c r="B153" s="279" t="s">
        <v>303</v>
      </c>
      <c r="C153" s="464">
        <v>50</v>
      </c>
    </row>
    <row r="154" spans="2:3" ht="13.5" thickBot="1">
      <c r="B154" s="279" t="s">
        <v>304</v>
      </c>
      <c r="C154" s="464">
        <v>50</v>
      </c>
    </row>
    <row r="155" spans="2:3" ht="13.5" thickBot="1">
      <c r="B155" s="279" t="s">
        <v>306</v>
      </c>
      <c r="C155" s="464">
        <v>50</v>
      </c>
    </row>
    <row r="156" spans="2:3" ht="13.5" thickBot="1">
      <c r="B156" s="305" t="s">
        <v>307</v>
      </c>
      <c r="C156" s="464">
        <v>50</v>
      </c>
    </row>
    <row r="157" spans="2:3">
      <c r="B157" s="303" t="s">
        <v>312</v>
      </c>
      <c r="C157" s="464">
        <v>50</v>
      </c>
    </row>
    <row r="158" spans="2:3" ht="13.5" thickBot="1">
      <c r="B158" s="279" t="s">
        <v>313</v>
      </c>
      <c r="C158" s="317">
        <f>Assumptions!$D$96*Assumptions!$D$97</f>
        <v>500</v>
      </c>
    </row>
    <row r="159" spans="2:3">
      <c r="B159" s="279" t="s">
        <v>311</v>
      </c>
      <c r="C159" s="464">
        <v>50</v>
      </c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V153"/>
  <sheetViews>
    <sheetView topLeftCell="A124" workbookViewId="0">
      <selection activeCell="B131" sqref="B131"/>
    </sheetView>
  </sheetViews>
  <sheetFormatPr defaultRowHeight="12.75"/>
  <cols>
    <col min="1" max="1" width="20.7109375" style="463" customWidth="1"/>
    <col min="2" max="2" width="52.140625" bestFit="1" customWidth="1"/>
    <col min="3" max="3" width="9.28515625" style="273" bestFit="1" customWidth="1"/>
    <col min="4" max="4" width="11.28515625" bestFit="1" customWidth="1"/>
    <col min="5" max="6" width="9.28515625" bestFit="1" customWidth="1"/>
    <col min="7" max="7" width="10.28515625" bestFit="1" customWidth="1"/>
    <col min="8" max="9" width="13.42578125" bestFit="1" customWidth="1"/>
  </cols>
  <sheetData>
    <row r="1" spans="2:256" ht="47.25" customHeight="1" thickBot="1">
      <c r="B1" s="67" t="str">
        <f>co_name</f>
        <v>Sample Company</v>
      </c>
      <c r="C1" s="67"/>
      <c r="D1" s="67"/>
      <c r="E1" s="67"/>
      <c r="F1" s="67"/>
      <c r="G1" s="67"/>
      <c r="H1" s="67"/>
      <c r="I1" s="67" t="str">
        <f>"Exhibit "&amp;_Exh4</f>
        <v>Exhibit 4</v>
      </c>
      <c r="J1" s="64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64"/>
      <c r="X1" s="64"/>
      <c r="Y1" s="64"/>
      <c r="Z1" s="64"/>
      <c r="AA1" s="64"/>
      <c r="AB1" s="64"/>
      <c r="AC1" s="64"/>
      <c r="AD1" s="64"/>
      <c r="AE1" s="64"/>
      <c r="AF1" s="64"/>
      <c r="AG1" s="64"/>
      <c r="AH1" s="64"/>
      <c r="AI1" s="64"/>
      <c r="AJ1" s="64"/>
      <c r="AK1" s="64"/>
      <c r="AL1" s="64"/>
      <c r="AM1" s="64"/>
      <c r="AN1" s="64"/>
      <c r="AO1" s="64"/>
      <c r="AP1" s="64"/>
      <c r="AQ1" s="64"/>
      <c r="AR1" s="64"/>
      <c r="AS1" s="64"/>
      <c r="AT1" s="64"/>
      <c r="AU1" s="64"/>
      <c r="AV1" s="64"/>
      <c r="AW1" s="64"/>
      <c r="AX1" s="64"/>
      <c r="AY1" s="64"/>
      <c r="AZ1" s="64"/>
      <c r="BA1" s="64"/>
      <c r="BB1" s="64"/>
      <c r="BC1" s="64"/>
      <c r="BD1" s="64"/>
      <c r="BE1" s="64"/>
      <c r="BF1" s="64"/>
      <c r="BG1" s="64"/>
      <c r="BH1" s="64"/>
      <c r="BI1" s="64"/>
      <c r="BJ1" s="64"/>
      <c r="BK1" s="64"/>
      <c r="BL1" s="64"/>
      <c r="BM1" s="64"/>
      <c r="BN1" s="64"/>
      <c r="BO1" s="64"/>
      <c r="BP1" s="64"/>
      <c r="BQ1" s="64"/>
      <c r="BR1" s="64"/>
      <c r="BS1" s="64"/>
      <c r="BT1" s="64"/>
      <c r="BU1" s="64"/>
      <c r="BV1" s="64"/>
      <c r="BW1" s="64"/>
      <c r="BX1" s="64"/>
      <c r="BY1" s="64"/>
      <c r="BZ1" s="64"/>
      <c r="CA1" s="64"/>
      <c r="CB1" s="64"/>
      <c r="CC1" s="64"/>
      <c r="CD1" s="64"/>
      <c r="CE1" s="64"/>
      <c r="CF1" s="64"/>
      <c r="CG1" s="64"/>
      <c r="CH1" s="64"/>
      <c r="CI1" s="64"/>
      <c r="CJ1" s="64"/>
      <c r="CK1" s="64"/>
      <c r="CL1" s="64"/>
      <c r="CM1" s="64"/>
      <c r="CN1" s="64"/>
      <c r="CO1" s="64"/>
      <c r="CP1" s="64"/>
      <c r="CQ1" s="64"/>
      <c r="CR1" s="64"/>
      <c r="CS1" s="64"/>
      <c r="CT1" s="64"/>
      <c r="CU1" s="64"/>
      <c r="CV1" s="64"/>
      <c r="CW1" s="64"/>
      <c r="CX1" s="64"/>
      <c r="CY1" s="64"/>
      <c r="CZ1" s="64"/>
      <c r="DA1" s="64"/>
      <c r="DB1" s="64"/>
      <c r="DC1" s="64"/>
      <c r="DD1" s="64"/>
      <c r="DE1" s="64"/>
      <c r="DF1" s="64"/>
      <c r="DG1" s="64"/>
      <c r="DH1" s="64"/>
      <c r="DI1" s="64"/>
      <c r="DJ1" s="64"/>
      <c r="DK1" s="64"/>
      <c r="DL1" s="64"/>
      <c r="DM1" s="64"/>
      <c r="DN1" s="64"/>
      <c r="DO1" s="64"/>
      <c r="DP1" s="64"/>
      <c r="DQ1" s="64"/>
      <c r="DR1" s="64"/>
      <c r="DS1" s="64"/>
      <c r="DT1" s="64"/>
      <c r="DU1" s="64"/>
      <c r="DV1" s="64"/>
      <c r="DW1" s="64"/>
      <c r="DX1" s="64"/>
      <c r="DY1" s="64"/>
      <c r="DZ1" s="64"/>
      <c r="EA1" s="64"/>
      <c r="EB1" s="64"/>
      <c r="EC1" s="64"/>
      <c r="ED1" s="64"/>
      <c r="EE1" s="64"/>
      <c r="EF1" s="64"/>
      <c r="EG1" s="64"/>
      <c r="EH1" s="64"/>
      <c r="EI1" s="64"/>
      <c r="EJ1" s="64"/>
      <c r="EK1" s="64"/>
      <c r="EL1" s="64"/>
      <c r="EM1" s="64"/>
      <c r="EN1" s="64"/>
      <c r="EO1" s="64"/>
      <c r="EP1" s="64"/>
      <c r="EQ1" s="64"/>
      <c r="ER1" s="64"/>
      <c r="ES1" s="64"/>
      <c r="ET1" s="64"/>
      <c r="EU1" s="64"/>
      <c r="EV1" s="64"/>
      <c r="EW1" s="64"/>
      <c r="EX1" s="64"/>
      <c r="EY1" s="64"/>
      <c r="EZ1" s="64"/>
      <c r="FA1" s="64"/>
      <c r="FB1" s="64"/>
      <c r="FC1" s="64"/>
      <c r="FD1" s="64"/>
      <c r="FE1" s="64"/>
      <c r="FF1" s="64"/>
      <c r="FG1" s="64"/>
      <c r="FH1" s="64"/>
      <c r="FI1" s="64"/>
      <c r="FJ1" s="64"/>
      <c r="FK1" s="64"/>
      <c r="FL1" s="64"/>
      <c r="FM1" s="64"/>
      <c r="FN1" s="64"/>
      <c r="FO1" s="64"/>
      <c r="FP1" s="64"/>
      <c r="FQ1" s="64"/>
      <c r="FR1" s="64"/>
      <c r="FS1" s="64"/>
      <c r="FT1" s="64"/>
      <c r="FU1" s="64"/>
      <c r="FV1" s="64"/>
      <c r="FW1" s="64"/>
      <c r="FX1" s="64"/>
      <c r="FY1" s="64"/>
      <c r="FZ1" s="64"/>
      <c r="GA1" s="64"/>
      <c r="GB1" s="64"/>
      <c r="GC1" s="64"/>
      <c r="GD1" s="64"/>
      <c r="GE1" s="64"/>
      <c r="GF1" s="64"/>
      <c r="GG1" s="64"/>
      <c r="GH1" s="64"/>
      <c r="GI1" s="64"/>
      <c r="GJ1" s="64"/>
      <c r="GK1" s="64"/>
      <c r="GL1" s="64"/>
      <c r="GM1" s="64"/>
      <c r="GN1" s="64"/>
      <c r="GO1" s="64"/>
      <c r="GP1" s="64"/>
      <c r="GQ1" s="64"/>
      <c r="GR1" s="64"/>
      <c r="GS1" s="64"/>
      <c r="GT1" s="64"/>
      <c r="GU1" s="64"/>
      <c r="GV1" s="64"/>
      <c r="GW1" s="64"/>
      <c r="GX1" s="64"/>
      <c r="GY1" s="64"/>
      <c r="GZ1" s="64"/>
      <c r="HA1" s="64"/>
      <c r="HB1" s="64"/>
      <c r="HC1" s="64"/>
      <c r="HD1" s="64"/>
      <c r="HE1" s="64"/>
      <c r="HF1" s="64"/>
      <c r="HG1" s="64"/>
      <c r="HH1" s="64"/>
      <c r="HI1" s="64"/>
      <c r="HJ1" s="64"/>
      <c r="HK1" s="64"/>
      <c r="HL1" s="64"/>
      <c r="HM1" s="64"/>
      <c r="HN1" s="64"/>
      <c r="HO1" s="64"/>
      <c r="HP1" s="64"/>
      <c r="HQ1" s="64"/>
      <c r="HR1" s="64"/>
      <c r="HS1" s="64"/>
      <c r="HT1" s="64"/>
      <c r="HU1" s="64"/>
      <c r="HV1" s="64"/>
      <c r="HW1" s="64"/>
      <c r="HX1" s="64"/>
      <c r="HY1" s="64"/>
      <c r="HZ1" s="64"/>
      <c r="IA1" s="64"/>
      <c r="IB1" s="64"/>
      <c r="IC1" s="64"/>
      <c r="ID1" s="64"/>
      <c r="IE1" s="64"/>
      <c r="IF1" s="64"/>
      <c r="IG1" s="64"/>
      <c r="IH1" s="64"/>
      <c r="II1" s="64"/>
      <c r="IJ1" s="64"/>
      <c r="IK1" s="64"/>
      <c r="IL1" s="64"/>
      <c r="IM1" s="64"/>
      <c r="IN1" s="64"/>
      <c r="IO1" s="64"/>
      <c r="IP1" s="64"/>
      <c r="IQ1" s="64"/>
      <c r="IR1" s="64"/>
      <c r="IS1" s="64"/>
      <c r="IT1" s="64"/>
      <c r="IU1" s="64"/>
      <c r="IV1" s="64"/>
    </row>
    <row r="2" spans="2:256" ht="18.75">
      <c r="B2" s="66" t="str">
        <f>proj_name</f>
        <v>Marine Operations Services</v>
      </c>
      <c r="C2" s="9"/>
      <c r="D2" s="9"/>
      <c r="E2" s="9"/>
      <c r="F2" s="9"/>
      <c r="G2" s="9"/>
      <c r="I2" s="68">
        <f ca="1">IF(date_toggle=1,run_date,"")</f>
        <v>39918</v>
      </c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  <c r="HC2" s="9"/>
      <c r="HD2" s="9"/>
      <c r="HE2" s="9"/>
      <c r="HF2" s="9"/>
      <c r="HG2" s="9"/>
      <c r="HH2" s="9"/>
      <c r="HI2" s="9"/>
      <c r="HJ2" s="9"/>
      <c r="HK2" s="9"/>
      <c r="HL2" s="9"/>
      <c r="HM2" s="9"/>
      <c r="HN2" s="9"/>
      <c r="HO2" s="9"/>
      <c r="HP2" s="9"/>
      <c r="HQ2" s="9"/>
      <c r="HR2" s="9"/>
      <c r="HS2" s="9"/>
      <c r="HT2" s="9"/>
      <c r="HU2" s="9"/>
      <c r="HV2" s="9"/>
      <c r="HW2" s="9"/>
      <c r="HX2" s="9"/>
      <c r="HY2" s="9"/>
      <c r="HZ2" s="9"/>
      <c r="IA2" s="9"/>
      <c r="IB2" s="9"/>
      <c r="IC2" s="9"/>
      <c r="ID2" s="9"/>
      <c r="IE2" s="9"/>
      <c r="IF2" s="9"/>
      <c r="IG2" s="9"/>
      <c r="IH2" s="9"/>
      <c r="II2" s="9"/>
      <c r="IJ2" s="9"/>
      <c r="IK2" s="9"/>
      <c r="IL2" s="9"/>
      <c r="IM2" s="9"/>
      <c r="IN2" s="9"/>
      <c r="IO2" s="9"/>
      <c r="IP2" s="9"/>
      <c r="IQ2" s="9"/>
      <c r="IR2" s="9"/>
      <c r="IS2" s="9"/>
      <c r="IT2" s="9"/>
      <c r="IU2" s="9"/>
      <c r="IV2" s="9"/>
    </row>
    <row r="3" spans="2:256" ht="18.75">
      <c r="B3" s="65" t="s">
        <v>314</v>
      </c>
      <c r="C3" s="9"/>
      <c r="D3" s="9"/>
      <c r="E3" s="9"/>
      <c r="F3" s="9"/>
      <c r="G3" s="9"/>
      <c r="I3" s="69">
        <f ca="1">IF(time_toggle=1,run_time,"")</f>
        <v>39918.566740393515</v>
      </c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  <c r="HC3" s="9"/>
      <c r="HD3" s="9"/>
      <c r="HE3" s="9"/>
      <c r="HF3" s="9"/>
      <c r="HG3" s="9"/>
      <c r="HH3" s="9"/>
      <c r="HI3" s="9"/>
      <c r="HJ3" s="9"/>
      <c r="HK3" s="9"/>
      <c r="HL3" s="9"/>
      <c r="HM3" s="9"/>
      <c r="HN3" s="9"/>
      <c r="HO3" s="9"/>
      <c r="HP3" s="9"/>
      <c r="HQ3" s="9"/>
      <c r="HR3" s="9"/>
      <c r="HS3" s="9"/>
      <c r="HT3" s="9"/>
      <c r="HU3" s="9"/>
      <c r="HV3" s="9"/>
      <c r="HW3" s="9"/>
      <c r="HX3" s="9"/>
      <c r="HY3" s="9"/>
      <c r="HZ3" s="9"/>
      <c r="IA3" s="9"/>
      <c r="IB3" s="9"/>
      <c r="IC3" s="9"/>
      <c r="ID3" s="9"/>
      <c r="IE3" s="9"/>
      <c r="IF3" s="9"/>
      <c r="IG3" s="9"/>
      <c r="IH3" s="9"/>
      <c r="II3" s="9"/>
      <c r="IJ3" s="9"/>
      <c r="IK3" s="9"/>
      <c r="IL3" s="9"/>
      <c r="IM3" s="9"/>
      <c r="IN3" s="9"/>
      <c r="IO3" s="9"/>
      <c r="IP3" s="9"/>
      <c r="IQ3" s="9"/>
      <c r="IR3" s="9"/>
      <c r="IS3" s="9"/>
      <c r="IT3" s="9"/>
      <c r="IU3" s="9"/>
      <c r="IV3" s="9"/>
    </row>
    <row r="4" spans="2:256" ht="15.75">
      <c r="B4" s="390" t="str">
        <f>curr</f>
        <v>(in US Dollars)</v>
      </c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  <c r="HC4" s="9"/>
      <c r="HD4" s="9"/>
      <c r="HE4" s="9"/>
      <c r="HF4" s="9"/>
      <c r="HG4" s="9"/>
      <c r="HH4" s="9"/>
      <c r="HI4" s="9"/>
      <c r="HJ4" s="9"/>
      <c r="HK4" s="9"/>
      <c r="HL4" s="9"/>
      <c r="HM4" s="9"/>
      <c r="HN4" s="9"/>
      <c r="HO4" s="9"/>
      <c r="HP4" s="9"/>
      <c r="HQ4" s="9"/>
      <c r="HR4" s="9"/>
      <c r="HS4" s="9"/>
      <c r="HT4" s="9"/>
      <c r="HU4" s="9"/>
      <c r="HV4" s="9"/>
      <c r="HW4" s="9"/>
      <c r="HX4" s="9"/>
      <c r="HY4" s="9"/>
      <c r="HZ4" s="9"/>
      <c r="IA4" s="9"/>
      <c r="IB4" s="9"/>
      <c r="IC4" s="9"/>
      <c r="ID4" s="9"/>
      <c r="IE4" s="9"/>
      <c r="IF4" s="9"/>
      <c r="IG4" s="9"/>
      <c r="IH4" s="9"/>
      <c r="II4" s="9"/>
      <c r="IJ4" s="9"/>
      <c r="IK4" s="9"/>
      <c r="IL4" s="9"/>
      <c r="IM4" s="9"/>
      <c r="IN4" s="9"/>
      <c r="IO4" s="9"/>
      <c r="IP4" s="9"/>
      <c r="IQ4" s="9"/>
      <c r="IR4" s="9"/>
      <c r="IS4" s="9"/>
      <c r="IT4" s="9"/>
      <c r="IU4" s="9"/>
      <c r="IV4" s="9"/>
    </row>
    <row r="6" spans="2:256" ht="15.75">
      <c r="D6" s="85">
        <f>first_year</f>
        <v>2009</v>
      </c>
      <c r="E6" s="85">
        <f>D6+1</f>
        <v>2010</v>
      </c>
      <c r="F6" s="85">
        <f>E6+1</f>
        <v>2011</v>
      </c>
      <c r="G6" s="85">
        <f>F6+1</f>
        <v>2012</v>
      </c>
      <c r="H6" s="85">
        <f>G6+1</f>
        <v>2013</v>
      </c>
    </row>
    <row r="9" spans="2:256">
      <c r="B9" s="273" t="s">
        <v>467</v>
      </c>
      <c r="D9" s="386">
        <f>Assumptions!D25</f>
        <v>1829.3005434782608</v>
      </c>
      <c r="E9" s="386">
        <f>Assumptions!E25</f>
        <v>6272.2645161290311</v>
      </c>
      <c r="F9" s="386">
        <f>Assumptions!F25</f>
        <v>5219.7174418604664</v>
      </c>
      <c r="G9" s="386">
        <f>Assumptions!G25</f>
        <v>9032.25</v>
      </c>
      <c r="H9" s="386">
        <f>Assumptions!H25</f>
        <v>9796.3189655172428</v>
      </c>
    </row>
    <row r="10" spans="2:256">
      <c r="B10" s="273"/>
      <c r="D10" s="386"/>
      <c r="E10" s="386"/>
      <c r="F10" s="386"/>
      <c r="G10" s="386"/>
      <c r="H10" s="386"/>
    </row>
    <row r="11" spans="2:256" ht="13.5" thickBot="1">
      <c r="B11" s="273"/>
      <c r="D11" s="458" t="s">
        <v>349</v>
      </c>
      <c r="E11" s="458"/>
      <c r="F11" s="458"/>
      <c r="G11" s="458"/>
      <c r="H11" s="458"/>
      <c r="I11" s="458" t="s">
        <v>350</v>
      </c>
      <c r="J11" s="458"/>
      <c r="K11" s="458"/>
      <c r="L11" s="458"/>
      <c r="M11" s="458"/>
      <c r="N11" s="458" t="s">
        <v>353</v>
      </c>
      <c r="O11" s="458"/>
      <c r="P11" s="458"/>
      <c r="Q11" s="458"/>
      <c r="R11" s="458"/>
    </row>
    <row r="12" spans="2:256" ht="13.5" thickBot="1">
      <c r="B12" s="273"/>
      <c r="D12" s="357">
        <f>first_year</f>
        <v>2009</v>
      </c>
      <c r="E12" s="357">
        <f>D12+1</f>
        <v>2010</v>
      </c>
      <c r="F12" s="357">
        <f>E12+1</f>
        <v>2011</v>
      </c>
      <c r="G12" s="357">
        <f>F12+1</f>
        <v>2012</v>
      </c>
      <c r="H12" s="358">
        <f>G12+1</f>
        <v>2013</v>
      </c>
      <c r="I12" s="357">
        <f>first_year</f>
        <v>2009</v>
      </c>
      <c r="J12" s="357">
        <f>I12+1</f>
        <v>2010</v>
      </c>
      <c r="K12" s="357">
        <f>J12+1</f>
        <v>2011</v>
      </c>
      <c r="L12" s="357">
        <f>K12+1</f>
        <v>2012</v>
      </c>
      <c r="M12" s="358">
        <f>L12+1</f>
        <v>2013</v>
      </c>
      <c r="N12" s="357">
        <f>first_year</f>
        <v>2009</v>
      </c>
      <c r="O12" s="357">
        <f>N12+1</f>
        <v>2010</v>
      </c>
      <c r="P12" s="357">
        <f>O12+1</f>
        <v>2011</v>
      </c>
      <c r="Q12" s="357">
        <f>P12+1</f>
        <v>2012</v>
      </c>
      <c r="R12" s="358">
        <f>Q12+1</f>
        <v>2013</v>
      </c>
    </row>
    <row r="13" spans="2:256" ht="13.5" thickBot="1">
      <c r="B13" s="384" t="s">
        <v>419</v>
      </c>
    </row>
    <row r="14" spans="2:256">
      <c r="B14" s="299" t="s">
        <v>524</v>
      </c>
      <c r="C14" s="466">
        <v>0.3</v>
      </c>
      <c r="D14" s="211">
        <f t="shared" ref="D14:H23" si="0">ROUND($C14*D$9,0)</f>
        <v>549</v>
      </c>
      <c r="E14" s="211">
        <f t="shared" si="0"/>
        <v>1882</v>
      </c>
      <c r="F14" s="211">
        <f t="shared" si="0"/>
        <v>1566</v>
      </c>
      <c r="G14" s="211">
        <f t="shared" si="0"/>
        <v>2710</v>
      </c>
      <c r="H14" s="211">
        <f t="shared" si="0"/>
        <v>2939</v>
      </c>
      <c r="I14" s="283">
        <f>ROUND(D14*Assumptions!D32,0)</f>
        <v>494</v>
      </c>
      <c r="J14" s="283">
        <f>ROUND(E14*Assumptions!E32,0)</f>
        <v>1694</v>
      </c>
      <c r="K14" s="283">
        <f>ROUND(F14*Assumptions!F32,0)</f>
        <v>1409</v>
      </c>
      <c r="L14" s="283">
        <f>ROUND(G14*Assumptions!G32,0)</f>
        <v>2439</v>
      </c>
      <c r="M14" s="283">
        <f>ROUND(H14*Assumptions!H32,0)</f>
        <v>2645</v>
      </c>
      <c r="N14" s="283">
        <f>D14-I14</f>
        <v>55</v>
      </c>
      <c r="O14" s="283">
        <f t="shared" ref="O14:O63" si="1">E14-J14</f>
        <v>188</v>
      </c>
      <c r="P14" s="283">
        <f t="shared" ref="P14:P63" si="2">F14-K14</f>
        <v>157</v>
      </c>
      <c r="Q14" s="283">
        <f t="shared" ref="Q14:Q63" si="3">G14-L14</f>
        <v>271</v>
      </c>
      <c r="R14" s="283">
        <f t="shared" ref="R14:R63" si="4">H14-M14</f>
        <v>294</v>
      </c>
    </row>
    <row r="15" spans="2:256">
      <c r="B15" s="288" t="s">
        <v>525</v>
      </c>
      <c r="C15" s="467">
        <v>0.1</v>
      </c>
      <c r="D15" s="211">
        <f t="shared" si="0"/>
        <v>183</v>
      </c>
      <c r="E15" s="211">
        <f t="shared" si="0"/>
        <v>627</v>
      </c>
      <c r="F15" s="211">
        <f t="shared" si="0"/>
        <v>522</v>
      </c>
      <c r="G15" s="211">
        <f t="shared" si="0"/>
        <v>903</v>
      </c>
      <c r="H15" s="211">
        <f t="shared" si="0"/>
        <v>980</v>
      </c>
      <c r="I15" s="283">
        <f>ROUND(D15*Assumptions!D33,0)</f>
        <v>183</v>
      </c>
      <c r="J15" s="283">
        <f>ROUND(E15*Assumptions!E33,0)</f>
        <v>627</v>
      </c>
      <c r="K15" s="283">
        <f>ROUND(F15*Assumptions!F33,0)</f>
        <v>522</v>
      </c>
      <c r="L15" s="283">
        <f>ROUND(G15*Assumptions!G33,0)</f>
        <v>903</v>
      </c>
      <c r="M15" s="283">
        <f>ROUND(H15*Assumptions!H33,0)</f>
        <v>980</v>
      </c>
      <c r="N15" s="283">
        <f t="shared" ref="N15:N63" si="5">D15-I15</f>
        <v>0</v>
      </c>
      <c r="O15" s="283">
        <f t="shared" si="1"/>
        <v>0</v>
      </c>
      <c r="P15" s="283">
        <f t="shared" si="2"/>
        <v>0</v>
      </c>
      <c r="Q15" s="283">
        <f t="shared" si="3"/>
        <v>0</v>
      </c>
      <c r="R15" s="283">
        <f t="shared" si="4"/>
        <v>0</v>
      </c>
    </row>
    <row r="16" spans="2:256">
      <c r="B16" s="289" t="s">
        <v>439</v>
      </c>
      <c r="C16" s="467">
        <v>0.3</v>
      </c>
      <c r="D16" s="211">
        <f t="shared" si="0"/>
        <v>549</v>
      </c>
      <c r="E16" s="211">
        <f t="shared" si="0"/>
        <v>1882</v>
      </c>
      <c r="F16" s="211">
        <f t="shared" si="0"/>
        <v>1566</v>
      </c>
      <c r="G16" s="211">
        <f t="shared" si="0"/>
        <v>2710</v>
      </c>
      <c r="H16" s="211">
        <f t="shared" si="0"/>
        <v>2939</v>
      </c>
      <c r="I16" s="283">
        <f>ROUND(D16*Assumptions!D34,0)</f>
        <v>439</v>
      </c>
      <c r="J16" s="283">
        <f>ROUND(E16*Assumptions!E34,0)</f>
        <v>1506</v>
      </c>
      <c r="K16" s="283">
        <f>ROUND(F16*Assumptions!F34,0)</f>
        <v>1253</v>
      </c>
      <c r="L16" s="283">
        <f>ROUND(G16*Assumptions!G34,0)</f>
        <v>2168</v>
      </c>
      <c r="M16" s="283">
        <f>ROUND(H16*Assumptions!H34,0)</f>
        <v>2351</v>
      </c>
      <c r="N16" s="283">
        <f t="shared" si="5"/>
        <v>110</v>
      </c>
      <c r="O16" s="283">
        <f t="shared" si="1"/>
        <v>376</v>
      </c>
      <c r="P16" s="283">
        <f t="shared" si="2"/>
        <v>313</v>
      </c>
      <c r="Q16" s="283">
        <f t="shared" si="3"/>
        <v>542</v>
      </c>
      <c r="R16" s="283">
        <f t="shared" si="4"/>
        <v>588</v>
      </c>
    </row>
    <row r="17" spans="2:18">
      <c r="B17" s="288" t="s">
        <v>440</v>
      </c>
      <c r="C17" s="467">
        <v>0.3</v>
      </c>
      <c r="D17" s="211">
        <f t="shared" si="0"/>
        <v>549</v>
      </c>
      <c r="E17" s="211">
        <f t="shared" si="0"/>
        <v>1882</v>
      </c>
      <c r="F17" s="211">
        <f t="shared" si="0"/>
        <v>1566</v>
      </c>
      <c r="G17" s="211">
        <f t="shared" si="0"/>
        <v>2710</v>
      </c>
      <c r="H17" s="211">
        <f t="shared" si="0"/>
        <v>2939</v>
      </c>
      <c r="I17" s="283">
        <f>ROUND(D17*Assumptions!D35,0)</f>
        <v>439</v>
      </c>
      <c r="J17" s="283">
        <f>ROUND(E17*Assumptions!E35,0)</f>
        <v>1506</v>
      </c>
      <c r="K17" s="283">
        <f>ROUND(F17*Assumptions!F35,0)</f>
        <v>1253</v>
      </c>
      <c r="L17" s="283">
        <f>ROUND(G17*Assumptions!G35,0)</f>
        <v>2168</v>
      </c>
      <c r="M17" s="283">
        <f>ROUND(H17*Assumptions!H35,0)</f>
        <v>2351</v>
      </c>
      <c r="N17" s="283">
        <f t="shared" si="5"/>
        <v>110</v>
      </c>
      <c r="O17" s="283">
        <f t="shared" si="1"/>
        <v>376</v>
      </c>
      <c r="P17" s="283">
        <f t="shared" si="2"/>
        <v>313</v>
      </c>
      <c r="Q17" s="283">
        <f t="shared" si="3"/>
        <v>542</v>
      </c>
      <c r="R17" s="283">
        <f t="shared" si="4"/>
        <v>588</v>
      </c>
    </row>
    <row r="18" spans="2:18">
      <c r="B18" s="288" t="s">
        <v>441</v>
      </c>
      <c r="C18" s="467">
        <v>0.1</v>
      </c>
      <c r="D18" s="211">
        <f t="shared" si="0"/>
        <v>183</v>
      </c>
      <c r="E18" s="211">
        <f t="shared" si="0"/>
        <v>627</v>
      </c>
      <c r="F18" s="211">
        <f t="shared" si="0"/>
        <v>522</v>
      </c>
      <c r="G18" s="211">
        <f t="shared" si="0"/>
        <v>903</v>
      </c>
      <c r="H18" s="211">
        <f t="shared" si="0"/>
        <v>980</v>
      </c>
      <c r="I18" s="283">
        <f>ROUND(D18*Assumptions!D36,0)</f>
        <v>183</v>
      </c>
      <c r="J18" s="283">
        <f>ROUND(E18*Assumptions!E36,0)</f>
        <v>627</v>
      </c>
      <c r="K18" s="283">
        <f>ROUND(F18*Assumptions!F36,0)</f>
        <v>522</v>
      </c>
      <c r="L18" s="283">
        <f>ROUND(G18*Assumptions!G36,0)</f>
        <v>903</v>
      </c>
      <c r="M18" s="283">
        <f>ROUND(H18*Assumptions!H36,0)</f>
        <v>980</v>
      </c>
      <c r="N18" s="283">
        <f t="shared" si="5"/>
        <v>0</v>
      </c>
      <c r="O18" s="283">
        <f t="shared" si="1"/>
        <v>0</v>
      </c>
      <c r="P18" s="283">
        <f t="shared" si="2"/>
        <v>0</v>
      </c>
      <c r="Q18" s="283">
        <f t="shared" si="3"/>
        <v>0</v>
      </c>
      <c r="R18" s="283">
        <f t="shared" si="4"/>
        <v>0</v>
      </c>
    </row>
    <row r="19" spans="2:18">
      <c r="B19" s="288" t="s">
        <v>239</v>
      </c>
      <c r="C19" s="467">
        <v>0.3</v>
      </c>
      <c r="D19" s="211">
        <f t="shared" si="0"/>
        <v>549</v>
      </c>
      <c r="E19" s="211">
        <f t="shared" si="0"/>
        <v>1882</v>
      </c>
      <c r="F19" s="211">
        <f t="shared" si="0"/>
        <v>1566</v>
      </c>
      <c r="G19" s="211">
        <f t="shared" si="0"/>
        <v>2710</v>
      </c>
      <c r="H19" s="211">
        <f t="shared" si="0"/>
        <v>2939</v>
      </c>
      <c r="I19" s="283">
        <f>ROUND(D19*Assumptions!D37,0)</f>
        <v>55</v>
      </c>
      <c r="J19" s="283">
        <f>ROUND(E19*Assumptions!E37,0)</f>
        <v>188</v>
      </c>
      <c r="K19" s="283">
        <f>ROUND(F19*Assumptions!F37,0)</f>
        <v>157</v>
      </c>
      <c r="L19" s="283">
        <f>ROUND(G19*Assumptions!G37,0)</f>
        <v>271</v>
      </c>
      <c r="M19" s="283">
        <f>ROUND(H19*Assumptions!H37,0)</f>
        <v>294</v>
      </c>
      <c r="N19" s="283">
        <f t="shared" si="5"/>
        <v>494</v>
      </c>
      <c r="O19" s="283">
        <f t="shared" si="1"/>
        <v>1694</v>
      </c>
      <c r="P19" s="283">
        <f t="shared" si="2"/>
        <v>1409</v>
      </c>
      <c r="Q19" s="283">
        <f t="shared" si="3"/>
        <v>2439</v>
      </c>
      <c r="R19" s="283">
        <f t="shared" si="4"/>
        <v>2645</v>
      </c>
    </row>
    <row r="20" spans="2:18">
      <c r="B20" s="288" t="s">
        <v>420</v>
      </c>
      <c r="C20" s="467">
        <v>0.5</v>
      </c>
      <c r="D20" s="211">
        <f t="shared" si="0"/>
        <v>915</v>
      </c>
      <c r="E20" s="211">
        <f t="shared" si="0"/>
        <v>3136</v>
      </c>
      <c r="F20" s="211">
        <f t="shared" si="0"/>
        <v>2610</v>
      </c>
      <c r="G20" s="211">
        <f t="shared" si="0"/>
        <v>4516</v>
      </c>
      <c r="H20" s="211">
        <f t="shared" si="0"/>
        <v>4898</v>
      </c>
      <c r="I20" s="283">
        <f>ROUND(D20*Assumptions!D38,0)</f>
        <v>915</v>
      </c>
      <c r="J20" s="283">
        <f>ROUND(E20*Assumptions!E38,0)</f>
        <v>3136</v>
      </c>
      <c r="K20" s="283">
        <f>ROUND(F20*Assumptions!F38,0)</f>
        <v>2610</v>
      </c>
      <c r="L20" s="283">
        <f>ROUND(G20*Assumptions!G38,0)</f>
        <v>4516</v>
      </c>
      <c r="M20" s="283">
        <f>ROUND(H20*Assumptions!H38,0)</f>
        <v>4898</v>
      </c>
      <c r="N20" s="283">
        <f t="shared" si="5"/>
        <v>0</v>
      </c>
      <c r="O20" s="283">
        <f t="shared" si="1"/>
        <v>0</v>
      </c>
      <c r="P20" s="283">
        <f t="shared" si="2"/>
        <v>0</v>
      </c>
      <c r="Q20" s="283">
        <f t="shared" si="3"/>
        <v>0</v>
      </c>
      <c r="R20" s="283">
        <f t="shared" si="4"/>
        <v>0</v>
      </c>
    </row>
    <row r="21" spans="2:18">
      <c r="B21" s="288" t="s">
        <v>421</v>
      </c>
      <c r="C21" s="467">
        <v>1</v>
      </c>
      <c r="D21" s="211">
        <f t="shared" si="0"/>
        <v>1829</v>
      </c>
      <c r="E21" s="211">
        <f t="shared" si="0"/>
        <v>6272</v>
      </c>
      <c r="F21" s="211">
        <f t="shared" si="0"/>
        <v>5220</v>
      </c>
      <c r="G21" s="211">
        <f t="shared" si="0"/>
        <v>9032</v>
      </c>
      <c r="H21" s="211">
        <f t="shared" si="0"/>
        <v>9796</v>
      </c>
      <c r="I21" s="283">
        <f>ROUND(D21*Assumptions!D39,0)</f>
        <v>1646</v>
      </c>
      <c r="J21" s="283">
        <f>ROUND(E21*Assumptions!E39,0)</f>
        <v>5645</v>
      </c>
      <c r="K21" s="283">
        <f>ROUND(F21*Assumptions!F39,0)</f>
        <v>4698</v>
      </c>
      <c r="L21" s="283">
        <f>ROUND(G21*Assumptions!G39,0)</f>
        <v>8129</v>
      </c>
      <c r="M21" s="283">
        <f>ROUND(H21*Assumptions!H39,0)</f>
        <v>8816</v>
      </c>
      <c r="N21" s="283">
        <f t="shared" si="5"/>
        <v>183</v>
      </c>
      <c r="O21" s="283">
        <f t="shared" si="1"/>
        <v>627</v>
      </c>
      <c r="P21" s="283">
        <f t="shared" si="2"/>
        <v>522</v>
      </c>
      <c r="Q21" s="283">
        <f t="shared" si="3"/>
        <v>903</v>
      </c>
      <c r="R21" s="283">
        <f t="shared" si="4"/>
        <v>980</v>
      </c>
    </row>
    <row r="22" spans="2:18">
      <c r="B22" s="289" t="s">
        <v>521</v>
      </c>
      <c r="C22" s="467">
        <v>0.9</v>
      </c>
      <c r="D22" s="211">
        <f t="shared" si="0"/>
        <v>1646</v>
      </c>
      <c r="E22" s="211">
        <f t="shared" si="0"/>
        <v>5645</v>
      </c>
      <c r="F22" s="211">
        <f t="shared" si="0"/>
        <v>4698</v>
      </c>
      <c r="G22" s="211">
        <f t="shared" si="0"/>
        <v>8129</v>
      </c>
      <c r="H22" s="211">
        <f t="shared" si="0"/>
        <v>8817</v>
      </c>
      <c r="I22" s="283">
        <f>ROUND(D22*Assumptions!D40,0)</f>
        <v>1317</v>
      </c>
      <c r="J22" s="283">
        <f>ROUND(E22*Assumptions!E40,0)</f>
        <v>4516</v>
      </c>
      <c r="K22" s="283">
        <f>ROUND(F22*Assumptions!F40,0)</f>
        <v>3758</v>
      </c>
      <c r="L22" s="283">
        <f>ROUND(G22*Assumptions!G40,0)</f>
        <v>6503</v>
      </c>
      <c r="M22" s="283">
        <f>ROUND(H22*Assumptions!H40,0)</f>
        <v>7054</v>
      </c>
      <c r="N22" s="283">
        <f t="shared" si="5"/>
        <v>329</v>
      </c>
      <c r="O22" s="283">
        <f t="shared" si="1"/>
        <v>1129</v>
      </c>
      <c r="P22" s="283">
        <f t="shared" si="2"/>
        <v>940</v>
      </c>
      <c r="Q22" s="283">
        <f t="shared" si="3"/>
        <v>1626</v>
      </c>
      <c r="R22" s="283">
        <f t="shared" si="4"/>
        <v>1763</v>
      </c>
    </row>
    <row r="23" spans="2:18">
      <c r="B23" s="289" t="s">
        <v>422</v>
      </c>
      <c r="C23" s="467">
        <v>0.2</v>
      </c>
      <c r="D23" s="211">
        <f t="shared" si="0"/>
        <v>366</v>
      </c>
      <c r="E23" s="211">
        <f t="shared" si="0"/>
        <v>1254</v>
      </c>
      <c r="F23" s="211">
        <f t="shared" si="0"/>
        <v>1044</v>
      </c>
      <c r="G23" s="211">
        <f t="shared" si="0"/>
        <v>1806</v>
      </c>
      <c r="H23" s="211">
        <f t="shared" si="0"/>
        <v>1959</v>
      </c>
      <c r="I23" s="283">
        <f>ROUND(D23*Assumptions!D41,0)</f>
        <v>293</v>
      </c>
      <c r="J23" s="283">
        <f>ROUND(E23*Assumptions!E41,0)</f>
        <v>1003</v>
      </c>
      <c r="K23" s="283">
        <f>ROUND(F23*Assumptions!F41,0)</f>
        <v>835</v>
      </c>
      <c r="L23" s="283">
        <f>ROUND(G23*Assumptions!G41,0)</f>
        <v>1445</v>
      </c>
      <c r="M23" s="283">
        <f>ROUND(H23*Assumptions!H41,0)</f>
        <v>1567</v>
      </c>
      <c r="N23" s="283">
        <f t="shared" si="5"/>
        <v>73</v>
      </c>
      <c r="O23" s="283">
        <f t="shared" si="1"/>
        <v>251</v>
      </c>
      <c r="P23" s="283">
        <f t="shared" si="2"/>
        <v>209</v>
      </c>
      <c r="Q23" s="283">
        <f t="shared" si="3"/>
        <v>361</v>
      </c>
      <c r="R23" s="283">
        <f t="shared" si="4"/>
        <v>392</v>
      </c>
    </row>
    <row r="24" spans="2:18">
      <c r="B24" s="288" t="s">
        <v>423</v>
      </c>
      <c r="C24" s="467">
        <v>0.9</v>
      </c>
      <c r="D24" s="211">
        <f t="shared" ref="D24:H29" si="6">ROUND($C24*D$9,0)</f>
        <v>1646</v>
      </c>
      <c r="E24" s="211">
        <f t="shared" si="6"/>
        <v>5645</v>
      </c>
      <c r="F24" s="211">
        <f t="shared" si="6"/>
        <v>4698</v>
      </c>
      <c r="G24" s="211">
        <f t="shared" si="6"/>
        <v>8129</v>
      </c>
      <c r="H24" s="211">
        <f t="shared" si="6"/>
        <v>8817</v>
      </c>
      <c r="I24" s="283">
        <f>ROUND(D24*Assumptions!D42,0)</f>
        <v>1317</v>
      </c>
      <c r="J24" s="283">
        <f>ROUND(E24*Assumptions!E42,0)</f>
        <v>4516</v>
      </c>
      <c r="K24" s="283">
        <f>ROUND(F24*Assumptions!F42,0)</f>
        <v>3758</v>
      </c>
      <c r="L24" s="283">
        <f>ROUND(G24*Assumptions!G42,0)</f>
        <v>6503</v>
      </c>
      <c r="M24" s="283">
        <f>ROUND(H24*Assumptions!H42,0)</f>
        <v>7054</v>
      </c>
      <c r="N24" s="283">
        <f t="shared" si="5"/>
        <v>329</v>
      </c>
      <c r="O24" s="283">
        <f t="shared" si="1"/>
        <v>1129</v>
      </c>
      <c r="P24" s="283">
        <f t="shared" si="2"/>
        <v>940</v>
      </c>
      <c r="Q24" s="283">
        <f t="shared" si="3"/>
        <v>1626</v>
      </c>
      <c r="R24" s="283">
        <f t="shared" si="4"/>
        <v>1763</v>
      </c>
    </row>
    <row r="25" spans="2:18">
      <c r="B25" s="288" t="s">
        <v>526</v>
      </c>
      <c r="C25" s="467">
        <v>1</v>
      </c>
      <c r="D25" s="211">
        <f t="shared" si="6"/>
        <v>1829</v>
      </c>
      <c r="E25" s="211">
        <f t="shared" si="6"/>
        <v>6272</v>
      </c>
      <c r="F25" s="211">
        <f t="shared" si="6"/>
        <v>5220</v>
      </c>
      <c r="G25" s="211">
        <f t="shared" si="6"/>
        <v>9032</v>
      </c>
      <c r="H25" s="211">
        <f t="shared" si="6"/>
        <v>9796</v>
      </c>
      <c r="I25" s="283">
        <f>ROUND(D25*Assumptions!D43,0)</f>
        <v>1646</v>
      </c>
      <c r="J25" s="283">
        <f>ROUND(E25*Assumptions!E43,0)</f>
        <v>5645</v>
      </c>
      <c r="K25" s="283">
        <f>ROUND(F25*Assumptions!F43,0)</f>
        <v>4698</v>
      </c>
      <c r="L25" s="283">
        <f>ROUND(G25*Assumptions!G43,0)</f>
        <v>8129</v>
      </c>
      <c r="M25" s="283">
        <f>ROUND(H25*Assumptions!H43,0)</f>
        <v>8816</v>
      </c>
      <c r="N25" s="283">
        <f t="shared" si="5"/>
        <v>183</v>
      </c>
      <c r="O25" s="283">
        <f t="shared" si="1"/>
        <v>627</v>
      </c>
      <c r="P25" s="283">
        <f t="shared" si="2"/>
        <v>522</v>
      </c>
      <c r="Q25" s="283">
        <f t="shared" si="3"/>
        <v>903</v>
      </c>
      <c r="R25" s="283">
        <f t="shared" si="4"/>
        <v>980</v>
      </c>
    </row>
    <row r="26" spans="2:18">
      <c r="B26" s="288" t="s">
        <v>243</v>
      </c>
      <c r="C26" s="467">
        <v>0.1</v>
      </c>
      <c r="D26" s="211">
        <f t="shared" si="6"/>
        <v>183</v>
      </c>
      <c r="E26" s="211">
        <f t="shared" si="6"/>
        <v>627</v>
      </c>
      <c r="F26" s="211">
        <f t="shared" si="6"/>
        <v>522</v>
      </c>
      <c r="G26" s="211">
        <f t="shared" si="6"/>
        <v>903</v>
      </c>
      <c r="H26" s="211">
        <f t="shared" si="6"/>
        <v>980</v>
      </c>
      <c r="I26" s="283">
        <f>ROUND(D26*Assumptions!D44,0)</f>
        <v>165</v>
      </c>
      <c r="J26" s="283">
        <f>ROUND(E26*Assumptions!E44,0)</f>
        <v>564</v>
      </c>
      <c r="K26" s="283">
        <f>ROUND(F26*Assumptions!F44,0)</f>
        <v>470</v>
      </c>
      <c r="L26" s="283">
        <f>ROUND(G26*Assumptions!G44,0)</f>
        <v>813</v>
      </c>
      <c r="M26" s="283">
        <f>ROUND(H26*Assumptions!H44,0)</f>
        <v>882</v>
      </c>
      <c r="N26" s="283">
        <f t="shared" si="5"/>
        <v>18</v>
      </c>
      <c r="O26" s="283">
        <f t="shared" si="1"/>
        <v>63</v>
      </c>
      <c r="P26" s="283">
        <f t="shared" si="2"/>
        <v>52</v>
      </c>
      <c r="Q26" s="283">
        <f t="shared" si="3"/>
        <v>90</v>
      </c>
      <c r="R26" s="283">
        <f t="shared" si="4"/>
        <v>98</v>
      </c>
    </row>
    <row r="27" spans="2:18">
      <c r="B27" s="289" t="s">
        <v>244</v>
      </c>
      <c r="C27" s="467">
        <v>0.1</v>
      </c>
      <c r="D27" s="211">
        <f t="shared" si="6"/>
        <v>183</v>
      </c>
      <c r="E27" s="211">
        <f t="shared" si="6"/>
        <v>627</v>
      </c>
      <c r="F27" s="211">
        <f t="shared" si="6"/>
        <v>522</v>
      </c>
      <c r="G27" s="211">
        <f t="shared" si="6"/>
        <v>903</v>
      </c>
      <c r="H27" s="211">
        <f t="shared" si="6"/>
        <v>980</v>
      </c>
      <c r="I27" s="283">
        <f>ROUND(D27*Assumptions!D45,0)</f>
        <v>183</v>
      </c>
      <c r="J27" s="283">
        <f>ROUND(E27*Assumptions!E45,0)</f>
        <v>627</v>
      </c>
      <c r="K27" s="283">
        <f>ROUND(F27*Assumptions!F45,0)</f>
        <v>522</v>
      </c>
      <c r="L27" s="283">
        <f>ROUND(G27*Assumptions!G45,0)</f>
        <v>903</v>
      </c>
      <c r="M27" s="283">
        <f>ROUND(H27*Assumptions!H45,0)</f>
        <v>980</v>
      </c>
      <c r="N27" s="283">
        <f t="shared" si="5"/>
        <v>0</v>
      </c>
      <c r="O27" s="283">
        <f t="shared" si="1"/>
        <v>0</v>
      </c>
      <c r="P27" s="283">
        <f t="shared" si="2"/>
        <v>0</v>
      </c>
      <c r="Q27" s="283">
        <f t="shared" si="3"/>
        <v>0</v>
      </c>
      <c r="R27" s="283">
        <f t="shared" si="4"/>
        <v>0</v>
      </c>
    </row>
    <row r="28" spans="2:18">
      <c r="B28" s="289" t="s">
        <v>245</v>
      </c>
      <c r="C28" s="467">
        <v>0.1</v>
      </c>
      <c r="D28" s="211">
        <f t="shared" si="6"/>
        <v>183</v>
      </c>
      <c r="E28" s="211">
        <f t="shared" si="6"/>
        <v>627</v>
      </c>
      <c r="F28" s="211">
        <f t="shared" si="6"/>
        <v>522</v>
      </c>
      <c r="G28" s="211">
        <f t="shared" si="6"/>
        <v>903</v>
      </c>
      <c r="H28" s="211">
        <f t="shared" si="6"/>
        <v>980</v>
      </c>
      <c r="I28" s="283">
        <f>ROUND(D28*Assumptions!D46,0)</f>
        <v>146</v>
      </c>
      <c r="J28" s="283">
        <f>ROUND(E28*Assumptions!E46,0)</f>
        <v>502</v>
      </c>
      <c r="K28" s="283">
        <f>ROUND(F28*Assumptions!F46,0)</f>
        <v>418</v>
      </c>
      <c r="L28" s="283">
        <f>ROUND(G28*Assumptions!G46,0)</f>
        <v>722</v>
      </c>
      <c r="M28" s="283">
        <f>ROUND(H28*Assumptions!H46,0)</f>
        <v>784</v>
      </c>
      <c r="N28" s="283">
        <f t="shared" si="5"/>
        <v>37</v>
      </c>
      <c r="O28" s="283">
        <f t="shared" si="1"/>
        <v>125</v>
      </c>
      <c r="P28" s="283">
        <f t="shared" si="2"/>
        <v>104</v>
      </c>
      <c r="Q28" s="283">
        <f t="shared" si="3"/>
        <v>181</v>
      </c>
      <c r="R28" s="283">
        <f t="shared" si="4"/>
        <v>196</v>
      </c>
    </row>
    <row r="29" spans="2:18" ht="13.5" thickBot="1">
      <c r="B29" s="290" t="s">
        <v>246</v>
      </c>
      <c r="C29" s="468">
        <v>1</v>
      </c>
      <c r="D29" s="211">
        <f t="shared" si="6"/>
        <v>1829</v>
      </c>
      <c r="E29" s="211">
        <f t="shared" si="6"/>
        <v>6272</v>
      </c>
      <c r="F29" s="211">
        <f t="shared" si="6"/>
        <v>5220</v>
      </c>
      <c r="G29" s="211">
        <f t="shared" si="6"/>
        <v>9032</v>
      </c>
      <c r="H29" s="211">
        <f t="shared" si="6"/>
        <v>9796</v>
      </c>
      <c r="I29" s="283">
        <f>ROUND(D29*Assumptions!D47,0)</f>
        <v>1646</v>
      </c>
      <c r="J29" s="283">
        <f>ROUND(E29*Assumptions!E47,0)</f>
        <v>5645</v>
      </c>
      <c r="K29" s="283">
        <f>ROUND(F29*Assumptions!F47,0)</f>
        <v>4698</v>
      </c>
      <c r="L29" s="283">
        <f>ROUND(G29*Assumptions!G47,0)</f>
        <v>8129</v>
      </c>
      <c r="M29" s="283">
        <f>ROUND(H29*Assumptions!H47,0)</f>
        <v>8816</v>
      </c>
      <c r="N29" s="283">
        <f t="shared" si="5"/>
        <v>183</v>
      </c>
      <c r="O29" s="283">
        <f t="shared" si="1"/>
        <v>627</v>
      </c>
      <c r="P29" s="283">
        <f t="shared" si="2"/>
        <v>522</v>
      </c>
      <c r="Q29" s="283">
        <f t="shared" si="3"/>
        <v>903</v>
      </c>
      <c r="R29" s="283">
        <f t="shared" si="4"/>
        <v>980</v>
      </c>
    </row>
    <row r="30" spans="2:18" ht="13.5" thickBot="1">
      <c r="B30" s="384" t="s">
        <v>424</v>
      </c>
      <c r="C30" s="382"/>
      <c r="N30" s="283">
        <f t="shared" si="5"/>
        <v>0</v>
      </c>
      <c r="O30" s="283">
        <f t="shared" si="1"/>
        <v>0</v>
      </c>
      <c r="P30" s="283">
        <f t="shared" si="2"/>
        <v>0</v>
      </c>
      <c r="Q30" s="283">
        <f t="shared" si="3"/>
        <v>0</v>
      </c>
      <c r="R30" s="283">
        <f t="shared" si="4"/>
        <v>0</v>
      </c>
    </row>
    <row r="31" spans="2:18">
      <c r="B31" s="291" t="s">
        <v>442</v>
      </c>
      <c r="C31" s="466">
        <v>0.5</v>
      </c>
      <c r="D31" s="211">
        <f t="shared" ref="D31:H39" si="7">ROUND($C31*D$9,0)</f>
        <v>915</v>
      </c>
      <c r="E31" s="211">
        <f t="shared" si="7"/>
        <v>3136</v>
      </c>
      <c r="F31" s="211">
        <f t="shared" si="7"/>
        <v>2610</v>
      </c>
      <c r="G31" s="211">
        <f t="shared" si="7"/>
        <v>4516</v>
      </c>
      <c r="H31" s="211">
        <f t="shared" si="7"/>
        <v>4898</v>
      </c>
      <c r="I31" s="283">
        <f>ROUND(D31*Assumptions!D49,0)</f>
        <v>824</v>
      </c>
      <c r="J31" s="283">
        <f>ROUND(E31*Assumptions!E49,0)</f>
        <v>2822</v>
      </c>
      <c r="K31" s="283">
        <f>ROUND(F31*Assumptions!F49,0)</f>
        <v>2349</v>
      </c>
      <c r="L31" s="283">
        <f>ROUND(G31*Assumptions!G49,0)</f>
        <v>4064</v>
      </c>
      <c r="M31" s="283">
        <f>ROUND(H31*Assumptions!H49,0)</f>
        <v>4408</v>
      </c>
      <c r="N31" s="283">
        <f t="shared" si="5"/>
        <v>91</v>
      </c>
      <c r="O31" s="283">
        <f t="shared" si="1"/>
        <v>314</v>
      </c>
      <c r="P31" s="283">
        <f t="shared" si="2"/>
        <v>261</v>
      </c>
      <c r="Q31" s="283">
        <f t="shared" si="3"/>
        <v>452</v>
      </c>
      <c r="R31" s="283">
        <f t="shared" si="4"/>
        <v>490</v>
      </c>
    </row>
    <row r="32" spans="2:18">
      <c r="B32" s="292" t="s">
        <v>463</v>
      </c>
      <c r="C32" s="467">
        <v>0.3</v>
      </c>
      <c r="D32" s="211">
        <f t="shared" si="7"/>
        <v>549</v>
      </c>
      <c r="E32" s="211">
        <f t="shared" si="7"/>
        <v>1882</v>
      </c>
      <c r="F32" s="211">
        <f t="shared" si="7"/>
        <v>1566</v>
      </c>
      <c r="G32" s="211">
        <f t="shared" si="7"/>
        <v>2710</v>
      </c>
      <c r="H32" s="211">
        <f t="shared" si="7"/>
        <v>2939</v>
      </c>
      <c r="I32" s="283">
        <f>ROUND(D32*Assumptions!D50,0)</f>
        <v>494</v>
      </c>
      <c r="J32" s="283">
        <f>ROUND(E32*Assumptions!E50,0)</f>
        <v>1694</v>
      </c>
      <c r="K32" s="283">
        <f>ROUND(F32*Assumptions!F50,0)</f>
        <v>1409</v>
      </c>
      <c r="L32" s="283">
        <f>ROUND(G32*Assumptions!G50,0)</f>
        <v>2439</v>
      </c>
      <c r="M32" s="283">
        <f>ROUND(H32*Assumptions!H50,0)</f>
        <v>2645</v>
      </c>
      <c r="N32" s="283">
        <f t="shared" si="5"/>
        <v>55</v>
      </c>
      <c r="O32" s="283">
        <f t="shared" si="1"/>
        <v>188</v>
      </c>
      <c r="P32" s="283">
        <f t="shared" si="2"/>
        <v>157</v>
      </c>
      <c r="Q32" s="283">
        <f t="shared" si="3"/>
        <v>271</v>
      </c>
      <c r="R32" s="283">
        <f t="shared" si="4"/>
        <v>294</v>
      </c>
    </row>
    <row r="33" spans="2:18">
      <c r="B33" s="292" t="s">
        <v>464</v>
      </c>
      <c r="C33" s="467">
        <v>1</v>
      </c>
      <c r="D33" s="211">
        <f t="shared" si="7"/>
        <v>1829</v>
      </c>
      <c r="E33" s="211">
        <f t="shared" si="7"/>
        <v>6272</v>
      </c>
      <c r="F33" s="211">
        <f t="shared" si="7"/>
        <v>5220</v>
      </c>
      <c r="G33" s="211">
        <f t="shared" si="7"/>
        <v>9032</v>
      </c>
      <c r="H33" s="211">
        <f t="shared" si="7"/>
        <v>9796</v>
      </c>
      <c r="I33" s="283">
        <f>ROUND(D33*Assumptions!D51,0)</f>
        <v>1646</v>
      </c>
      <c r="J33" s="283">
        <f>ROUND(E33*Assumptions!E51,0)</f>
        <v>5645</v>
      </c>
      <c r="K33" s="283">
        <f>ROUND(F33*Assumptions!F51,0)</f>
        <v>4698</v>
      </c>
      <c r="L33" s="283">
        <f>ROUND(G33*Assumptions!G51,0)</f>
        <v>8129</v>
      </c>
      <c r="M33" s="283">
        <f>ROUND(H33*Assumptions!H51,0)</f>
        <v>8816</v>
      </c>
      <c r="N33" s="283">
        <f t="shared" si="5"/>
        <v>183</v>
      </c>
      <c r="O33" s="283">
        <f t="shared" si="1"/>
        <v>627</v>
      </c>
      <c r="P33" s="283">
        <f t="shared" si="2"/>
        <v>522</v>
      </c>
      <c r="Q33" s="283">
        <f t="shared" si="3"/>
        <v>903</v>
      </c>
      <c r="R33" s="283">
        <f t="shared" si="4"/>
        <v>980</v>
      </c>
    </row>
    <row r="34" spans="2:18">
      <c r="B34" s="292" t="s">
        <v>247</v>
      </c>
      <c r="C34" s="467">
        <v>0.9</v>
      </c>
      <c r="D34" s="211">
        <f t="shared" si="7"/>
        <v>1646</v>
      </c>
      <c r="E34" s="211">
        <f t="shared" si="7"/>
        <v>5645</v>
      </c>
      <c r="F34" s="211">
        <f t="shared" si="7"/>
        <v>4698</v>
      </c>
      <c r="G34" s="211">
        <f t="shared" si="7"/>
        <v>8129</v>
      </c>
      <c r="H34" s="211">
        <f t="shared" si="7"/>
        <v>8817</v>
      </c>
      <c r="I34" s="283">
        <f>ROUND(D34*Assumptions!D52,0)</f>
        <v>1317</v>
      </c>
      <c r="J34" s="283">
        <f>ROUND(E34*Assumptions!E52,0)</f>
        <v>4516</v>
      </c>
      <c r="K34" s="283">
        <f>ROUND(F34*Assumptions!F52,0)</f>
        <v>3758</v>
      </c>
      <c r="L34" s="283">
        <f>ROUND(G34*Assumptions!G52,0)</f>
        <v>6503</v>
      </c>
      <c r="M34" s="283">
        <f>ROUND(H34*Assumptions!H52,0)</f>
        <v>7054</v>
      </c>
      <c r="N34" s="283">
        <f t="shared" si="5"/>
        <v>329</v>
      </c>
      <c r="O34" s="283">
        <f t="shared" si="1"/>
        <v>1129</v>
      </c>
      <c r="P34" s="283">
        <f t="shared" si="2"/>
        <v>940</v>
      </c>
      <c r="Q34" s="283">
        <f t="shared" si="3"/>
        <v>1626</v>
      </c>
      <c r="R34" s="283">
        <f t="shared" si="4"/>
        <v>1763</v>
      </c>
    </row>
    <row r="35" spans="2:18">
      <c r="B35" s="292" t="s">
        <v>248</v>
      </c>
      <c r="C35" s="467">
        <v>0.1</v>
      </c>
      <c r="D35" s="211">
        <f t="shared" si="7"/>
        <v>183</v>
      </c>
      <c r="E35" s="211">
        <f t="shared" si="7"/>
        <v>627</v>
      </c>
      <c r="F35" s="211">
        <f t="shared" si="7"/>
        <v>522</v>
      </c>
      <c r="G35" s="211">
        <f t="shared" si="7"/>
        <v>903</v>
      </c>
      <c r="H35" s="211">
        <f t="shared" si="7"/>
        <v>980</v>
      </c>
      <c r="I35" s="283">
        <f>ROUND(D35*Assumptions!D53,0)</f>
        <v>37</v>
      </c>
      <c r="J35" s="283">
        <f>ROUND(E35*Assumptions!E53,0)</f>
        <v>125</v>
      </c>
      <c r="K35" s="283">
        <f>ROUND(F35*Assumptions!F53,0)</f>
        <v>104</v>
      </c>
      <c r="L35" s="283">
        <f>ROUND(G35*Assumptions!G53,0)</f>
        <v>181</v>
      </c>
      <c r="M35" s="283">
        <f>ROUND(H35*Assumptions!H53,0)</f>
        <v>196</v>
      </c>
      <c r="N35" s="283">
        <f t="shared" si="5"/>
        <v>146</v>
      </c>
      <c r="O35" s="283">
        <f t="shared" si="1"/>
        <v>502</v>
      </c>
      <c r="P35" s="283">
        <f t="shared" si="2"/>
        <v>418</v>
      </c>
      <c r="Q35" s="283">
        <f t="shared" si="3"/>
        <v>722</v>
      </c>
      <c r="R35" s="283">
        <f t="shared" si="4"/>
        <v>784</v>
      </c>
    </row>
    <row r="36" spans="2:18">
      <c r="B36" s="293" t="s">
        <v>249</v>
      </c>
      <c r="C36" s="467">
        <v>0.1</v>
      </c>
      <c r="D36" s="211">
        <f t="shared" si="7"/>
        <v>183</v>
      </c>
      <c r="E36" s="211">
        <f t="shared" si="7"/>
        <v>627</v>
      </c>
      <c r="F36" s="211">
        <f t="shared" si="7"/>
        <v>522</v>
      </c>
      <c r="G36" s="211">
        <f t="shared" si="7"/>
        <v>903</v>
      </c>
      <c r="H36" s="211">
        <f t="shared" si="7"/>
        <v>980</v>
      </c>
      <c r="I36" s="283">
        <f>ROUND(D36*Assumptions!D54,0)</f>
        <v>165</v>
      </c>
      <c r="J36" s="283">
        <f>ROUND(E36*Assumptions!E54,0)</f>
        <v>564</v>
      </c>
      <c r="K36" s="283">
        <f>ROUND(F36*Assumptions!F54,0)</f>
        <v>470</v>
      </c>
      <c r="L36" s="283">
        <f>ROUND(G36*Assumptions!G54,0)</f>
        <v>813</v>
      </c>
      <c r="M36" s="283">
        <f>ROUND(H36*Assumptions!H54,0)</f>
        <v>882</v>
      </c>
      <c r="N36" s="283">
        <f t="shared" si="5"/>
        <v>18</v>
      </c>
      <c r="O36" s="283">
        <f t="shared" si="1"/>
        <v>63</v>
      </c>
      <c r="P36" s="283">
        <f t="shared" si="2"/>
        <v>52</v>
      </c>
      <c r="Q36" s="283">
        <f t="shared" si="3"/>
        <v>90</v>
      </c>
      <c r="R36" s="283">
        <f t="shared" si="4"/>
        <v>98</v>
      </c>
    </row>
    <row r="37" spans="2:18">
      <c r="B37" s="293" t="s">
        <v>425</v>
      </c>
      <c r="C37" s="467">
        <v>0.1</v>
      </c>
      <c r="D37" s="211">
        <f t="shared" si="7"/>
        <v>183</v>
      </c>
      <c r="E37" s="211">
        <f t="shared" si="7"/>
        <v>627</v>
      </c>
      <c r="F37" s="211">
        <f t="shared" si="7"/>
        <v>522</v>
      </c>
      <c r="G37" s="211">
        <f t="shared" si="7"/>
        <v>903</v>
      </c>
      <c r="H37" s="211">
        <f t="shared" si="7"/>
        <v>980</v>
      </c>
      <c r="I37" s="283">
        <f>ROUND(D37*Assumptions!D55,0)</f>
        <v>146</v>
      </c>
      <c r="J37" s="283">
        <f>ROUND(E37*Assumptions!E55,0)</f>
        <v>502</v>
      </c>
      <c r="K37" s="283">
        <f>ROUND(F37*Assumptions!F55,0)</f>
        <v>418</v>
      </c>
      <c r="L37" s="283">
        <f>ROUND(G37*Assumptions!G55,0)</f>
        <v>722</v>
      </c>
      <c r="M37" s="283">
        <f>ROUND(H37*Assumptions!H55,0)</f>
        <v>784</v>
      </c>
      <c r="N37" s="283">
        <f t="shared" si="5"/>
        <v>37</v>
      </c>
      <c r="O37" s="283">
        <f t="shared" si="1"/>
        <v>125</v>
      </c>
      <c r="P37" s="283">
        <f t="shared" si="2"/>
        <v>104</v>
      </c>
      <c r="Q37" s="283">
        <f t="shared" si="3"/>
        <v>181</v>
      </c>
      <c r="R37" s="283">
        <f t="shared" si="4"/>
        <v>196</v>
      </c>
    </row>
    <row r="38" spans="2:18">
      <c r="B38" s="292" t="s">
        <v>426</v>
      </c>
      <c r="C38" s="467">
        <v>1</v>
      </c>
      <c r="D38" s="211">
        <f t="shared" si="7"/>
        <v>1829</v>
      </c>
      <c r="E38" s="211">
        <f t="shared" si="7"/>
        <v>6272</v>
      </c>
      <c r="F38" s="211">
        <f t="shared" si="7"/>
        <v>5220</v>
      </c>
      <c r="G38" s="211">
        <f t="shared" si="7"/>
        <v>9032</v>
      </c>
      <c r="H38" s="211">
        <f t="shared" si="7"/>
        <v>9796</v>
      </c>
      <c r="I38" s="283">
        <f>ROUND(D38*Assumptions!D56,0)</f>
        <v>1646</v>
      </c>
      <c r="J38" s="283">
        <f>ROUND(E38*Assumptions!E56,0)</f>
        <v>5645</v>
      </c>
      <c r="K38" s="283">
        <f>ROUND(F38*Assumptions!F56,0)</f>
        <v>4698</v>
      </c>
      <c r="L38" s="283">
        <f>ROUND(G38*Assumptions!G56,0)</f>
        <v>8129</v>
      </c>
      <c r="M38" s="283">
        <f>ROUND(H38*Assumptions!H56,0)</f>
        <v>8816</v>
      </c>
      <c r="N38" s="283">
        <f t="shared" si="5"/>
        <v>183</v>
      </c>
      <c r="O38" s="283">
        <f t="shared" si="1"/>
        <v>627</v>
      </c>
      <c r="P38" s="283">
        <f t="shared" si="2"/>
        <v>522</v>
      </c>
      <c r="Q38" s="283">
        <f t="shared" si="3"/>
        <v>903</v>
      </c>
      <c r="R38" s="283">
        <f t="shared" si="4"/>
        <v>980</v>
      </c>
    </row>
    <row r="39" spans="2:18" ht="13.5" thickBot="1">
      <c r="B39" s="462" t="s">
        <v>527</v>
      </c>
      <c r="C39" s="468">
        <v>0.1</v>
      </c>
      <c r="D39" s="211">
        <f t="shared" si="7"/>
        <v>183</v>
      </c>
      <c r="E39" s="211">
        <f t="shared" si="7"/>
        <v>627</v>
      </c>
      <c r="F39" s="211">
        <f t="shared" si="7"/>
        <v>522</v>
      </c>
      <c r="G39" s="211">
        <f t="shared" si="7"/>
        <v>903</v>
      </c>
      <c r="H39" s="211">
        <f t="shared" si="7"/>
        <v>980</v>
      </c>
      <c r="I39" s="283">
        <f>ROUND(D39*Assumptions!D57,0)</f>
        <v>18</v>
      </c>
      <c r="J39" s="283">
        <f>ROUND(E39*Assumptions!E57,0)</f>
        <v>63</v>
      </c>
      <c r="K39" s="283">
        <f>ROUND(F39*Assumptions!F57,0)</f>
        <v>52</v>
      </c>
      <c r="L39" s="283">
        <f>ROUND(G39*Assumptions!G57,0)</f>
        <v>90</v>
      </c>
      <c r="M39" s="283">
        <f>ROUND(H39*Assumptions!H57,0)</f>
        <v>98</v>
      </c>
      <c r="N39" s="283">
        <f t="shared" si="5"/>
        <v>165</v>
      </c>
      <c r="O39" s="283">
        <f t="shared" si="1"/>
        <v>564</v>
      </c>
      <c r="P39" s="283">
        <f t="shared" si="2"/>
        <v>470</v>
      </c>
      <c r="Q39" s="283">
        <f t="shared" si="3"/>
        <v>813</v>
      </c>
      <c r="R39" s="283">
        <f t="shared" si="4"/>
        <v>882</v>
      </c>
    </row>
    <row r="40" spans="2:18" ht="13.5" thickBot="1">
      <c r="B40" s="385" t="s">
        <v>250</v>
      </c>
      <c r="C40" s="382"/>
      <c r="N40" s="283">
        <f t="shared" si="5"/>
        <v>0</v>
      </c>
      <c r="O40" s="283">
        <f t="shared" si="1"/>
        <v>0</v>
      </c>
      <c r="P40" s="283">
        <f t="shared" si="2"/>
        <v>0</v>
      </c>
      <c r="Q40" s="283">
        <f t="shared" si="3"/>
        <v>0</v>
      </c>
      <c r="R40" s="283">
        <f t="shared" si="4"/>
        <v>0</v>
      </c>
    </row>
    <row r="41" spans="2:18">
      <c r="B41" s="294" t="s">
        <v>251</v>
      </c>
      <c r="C41" s="466">
        <v>1</v>
      </c>
      <c r="D41" s="211">
        <f t="shared" ref="D41:H49" si="8">ROUND($C41*D$9,0)</f>
        <v>1829</v>
      </c>
      <c r="E41" s="211">
        <f t="shared" si="8"/>
        <v>6272</v>
      </c>
      <c r="F41" s="211">
        <f t="shared" si="8"/>
        <v>5220</v>
      </c>
      <c r="G41" s="211">
        <f t="shared" si="8"/>
        <v>9032</v>
      </c>
      <c r="H41" s="211">
        <f t="shared" si="8"/>
        <v>9796</v>
      </c>
      <c r="I41" s="283">
        <f>ROUND(D41*Assumptions!D59,0)</f>
        <v>366</v>
      </c>
      <c r="J41" s="283">
        <f>ROUND(E41*Assumptions!E59,0)</f>
        <v>1254</v>
      </c>
      <c r="K41" s="283">
        <f>ROUND(F41*Assumptions!F59,0)</f>
        <v>1044</v>
      </c>
      <c r="L41" s="283">
        <f>ROUND(G41*Assumptions!G59,0)</f>
        <v>1806</v>
      </c>
      <c r="M41" s="283">
        <f>ROUND(H41*Assumptions!H59,0)</f>
        <v>1959</v>
      </c>
      <c r="N41" s="283">
        <f t="shared" si="5"/>
        <v>1463</v>
      </c>
      <c r="O41" s="283">
        <f t="shared" si="1"/>
        <v>5018</v>
      </c>
      <c r="P41" s="283">
        <f t="shared" si="2"/>
        <v>4176</v>
      </c>
      <c r="Q41" s="283">
        <f t="shared" si="3"/>
        <v>7226</v>
      </c>
      <c r="R41" s="283">
        <f t="shared" si="4"/>
        <v>7837</v>
      </c>
    </row>
    <row r="42" spans="2:18">
      <c r="B42" s="295" t="s">
        <v>252</v>
      </c>
      <c r="C42" s="467">
        <v>1</v>
      </c>
      <c r="D42" s="211">
        <f t="shared" si="8"/>
        <v>1829</v>
      </c>
      <c r="E42" s="211">
        <f t="shared" si="8"/>
        <v>6272</v>
      </c>
      <c r="F42" s="211">
        <f t="shared" si="8"/>
        <v>5220</v>
      </c>
      <c r="G42" s="211">
        <f t="shared" si="8"/>
        <v>9032</v>
      </c>
      <c r="H42" s="211">
        <f t="shared" si="8"/>
        <v>9796</v>
      </c>
      <c r="I42" s="283">
        <f>ROUND(D42*Assumptions!D60,0)</f>
        <v>366</v>
      </c>
      <c r="J42" s="283">
        <f>ROUND(E42*Assumptions!E60,0)</f>
        <v>1254</v>
      </c>
      <c r="K42" s="283">
        <f>ROUND(F42*Assumptions!F60,0)</f>
        <v>1044</v>
      </c>
      <c r="L42" s="283">
        <f>ROUND(G42*Assumptions!G60,0)</f>
        <v>1806</v>
      </c>
      <c r="M42" s="283">
        <f>ROUND(H42*Assumptions!H60,0)</f>
        <v>1959</v>
      </c>
      <c r="N42" s="283">
        <f t="shared" si="5"/>
        <v>1463</v>
      </c>
      <c r="O42" s="283">
        <f t="shared" si="1"/>
        <v>5018</v>
      </c>
      <c r="P42" s="283">
        <f t="shared" si="2"/>
        <v>4176</v>
      </c>
      <c r="Q42" s="283">
        <f t="shared" si="3"/>
        <v>7226</v>
      </c>
      <c r="R42" s="283">
        <f t="shared" si="4"/>
        <v>7837</v>
      </c>
    </row>
    <row r="43" spans="2:18">
      <c r="B43" s="295" t="s">
        <v>253</v>
      </c>
      <c r="C43" s="467">
        <v>1</v>
      </c>
      <c r="D43" s="211">
        <f t="shared" si="8"/>
        <v>1829</v>
      </c>
      <c r="E43" s="211">
        <f t="shared" si="8"/>
        <v>6272</v>
      </c>
      <c r="F43" s="211">
        <f t="shared" si="8"/>
        <v>5220</v>
      </c>
      <c r="G43" s="211">
        <f t="shared" si="8"/>
        <v>9032</v>
      </c>
      <c r="H43" s="211">
        <f t="shared" si="8"/>
        <v>9796</v>
      </c>
      <c r="I43" s="283">
        <f>ROUND(D43*Assumptions!D61,0)</f>
        <v>366</v>
      </c>
      <c r="J43" s="283">
        <f>ROUND(E43*Assumptions!E61,0)</f>
        <v>1254</v>
      </c>
      <c r="K43" s="283">
        <f>ROUND(F43*Assumptions!F61,0)</f>
        <v>1044</v>
      </c>
      <c r="L43" s="283">
        <f>ROUND(G43*Assumptions!G61,0)</f>
        <v>1806</v>
      </c>
      <c r="M43" s="283">
        <f>ROUND(H43*Assumptions!H61,0)</f>
        <v>1959</v>
      </c>
      <c r="N43" s="283">
        <f t="shared" si="5"/>
        <v>1463</v>
      </c>
      <c r="O43" s="283">
        <f t="shared" si="1"/>
        <v>5018</v>
      </c>
      <c r="P43" s="283">
        <f t="shared" si="2"/>
        <v>4176</v>
      </c>
      <c r="Q43" s="283">
        <f t="shared" si="3"/>
        <v>7226</v>
      </c>
      <c r="R43" s="283">
        <f t="shared" si="4"/>
        <v>7837</v>
      </c>
    </row>
    <row r="44" spans="2:18">
      <c r="B44" s="295" t="s">
        <v>326</v>
      </c>
      <c r="C44" s="467">
        <v>0.8</v>
      </c>
      <c r="D44" s="211">
        <f t="shared" si="8"/>
        <v>1463</v>
      </c>
      <c r="E44" s="211">
        <f t="shared" si="8"/>
        <v>5018</v>
      </c>
      <c r="F44" s="211">
        <f t="shared" si="8"/>
        <v>4176</v>
      </c>
      <c r="G44" s="211">
        <f t="shared" si="8"/>
        <v>7226</v>
      </c>
      <c r="H44" s="211">
        <f t="shared" si="8"/>
        <v>7837</v>
      </c>
      <c r="I44" s="283">
        <f>ROUND(D44*Assumptions!D62,0)</f>
        <v>1317</v>
      </c>
      <c r="J44" s="283">
        <f>ROUND(E44*Assumptions!E62,0)</f>
        <v>4516</v>
      </c>
      <c r="K44" s="283">
        <f>ROUND(F44*Assumptions!F62,0)</f>
        <v>3758</v>
      </c>
      <c r="L44" s="283">
        <f>ROUND(G44*Assumptions!G62,0)</f>
        <v>6503</v>
      </c>
      <c r="M44" s="283">
        <f>ROUND(H44*Assumptions!H62,0)</f>
        <v>7053</v>
      </c>
      <c r="N44" s="283">
        <f t="shared" si="5"/>
        <v>146</v>
      </c>
      <c r="O44" s="283">
        <f t="shared" si="1"/>
        <v>502</v>
      </c>
      <c r="P44" s="283">
        <f t="shared" si="2"/>
        <v>418</v>
      </c>
      <c r="Q44" s="283">
        <f t="shared" si="3"/>
        <v>723</v>
      </c>
      <c r="R44" s="283">
        <f t="shared" si="4"/>
        <v>784</v>
      </c>
    </row>
    <row r="45" spans="2:18">
      <c r="B45" s="296" t="s">
        <v>254</v>
      </c>
      <c r="C45" s="467">
        <v>1</v>
      </c>
      <c r="D45" s="211">
        <f t="shared" si="8"/>
        <v>1829</v>
      </c>
      <c r="E45" s="211">
        <f t="shared" si="8"/>
        <v>6272</v>
      </c>
      <c r="F45" s="211">
        <f t="shared" si="8"/>
        <v>5220</v>
      </c>
      <c r="G45" s="211">
        <f t="shared" si="8"/>
        <v>9032</v>
      </c>
      <c r="H45" s="211">
        <f t="shared" si="8"/>
        <v>9796</v>
      </c>
      <c r="I45" s="283">
        <f>ROUND(D45*Assumptions!D63,0)</f>
        <v>366</v>
      </c>
      <c r="J45" s="283">
        <f>ROUND(E45*Assumptions!E63,0)</f>
        <v>1254</v>
      </c>
      <c r="K45" s="283">
        <f>ROUND(F45*Assumptions!F63,0)</f>
        <v>1044</v>
      </c>
      <c r="L45" s="283">
        <f>ROUND(G45*Assumptions!G63,0)</f>
        <v>1806</v>
      </c>
      <c r="M45" s="283">
        <f>ROUND(H45*Assumptions!H63,0)</f>
        <v>1959</v>
      </c>
      <c r="N45" s="283">
        <f t="shared" si="5"/>
        <v>1463</v>
      </c>
      <c r="O45" s="283">
        <f t="shared" si="1"/>
        <v>5018</v>
      </c>
      <c r="P45" s="283">
        <f t="shared" si="2"/>
        <v>4176</v>
      </c>
      <c r="Q45" s="283">
        <f t="shared" si="3"/>
        <v>7226</v>
      </c>
      <c r="R45" s="283">
        <f t="shared" si="4"/>
        <v>7837</v>
      </c>
    </row>
    <row r="46" spans="2:18">
      <c r="B46" s="296" t="s">
        <v>255</v>
      </c>
      <c r="C46" s="467">
        <v>0.8</v>
      </c>
      <c r="D46" s="211">
        <f t="shared" si="8"/>
        <v>1463</v>
      </c>
      <c r="E46" s="211">
        <f t="shared" si="8"/>
        <v>5018</v>
      </c>
      <c r="F46" s="211">
        <f t="shared" si="8"/>
        <v>4176</v>
      </c>
      <c r="G46" s="211">
        <f t="shared" si="8"/>
        <v>7226</v>
      </c>
      <c r="H46" s="211">
        <f t="shared" si="8"/>
        <v>7837</v>
      </c>
      <c r="I46" s="283">
        <f>ROUND(D46*Assumptions!D64,0)</f>
        <v>1317</v>
      </c>
      <c r="J46" s="283">
        <f>ROUND(E46*Assumptions!E64,0)</f>
        <v>4516</v>
      </c>
      <c r="K46" s="283">
        <f>ROUND(F46*Assumptions!F64,0)</f>
        <v>3758</v>
      </c>
      <c r="L46" s="283">
        <f>ROUND(G46*Assumptions!G64,0)</f>
        <v>6503</v>
      </c>
      <c r="M46" s="283">
        <f>ROUND(H46*Assumptions!H64,0)</f>
        <v>7053</v>
      </c>
      <c r="N46" s="283">
        <f t="shared" si="5"/>
        <v>146</v>
      </c>
      <c r="O46" s="283">
        <f t="shared" si="1"/>
        <v>502</v>
      </c>
      <c r="P46" s="283">
        <f t="shared" si="2"/>
        <v>418</v>
      </c>
      <c r="Q46" s="283">
        <f t="shared" si="3"/>
        <v>723</v>
      </c>
      <c r="R46" s="283">
        <f t="shared" si="4"/>
        <v>784</v>
      </c>
    </row>
    <row r="47" spans="2:18">
      <c r="B47" s="296" t="s">
        <v>256</v>
      </c>
      <c r="C47" s="467">
        <v>0.9</v>
      </c>
      <c r="D47" s="211">
        <f t="shared" si="8"/>
        <v>1646</v>
      </c>
      <c r="E47" s="211">
        <f t="shared" si="8"/>
        <v>5645</v>
      </c>
      <c r="F47" s="211">
        <f t="shared" si="8"/>
        <v>4698</v>
      </c>
      <c r="G47" s="211">
        <f t="shared" si="8"/>
        <v>8129</v>
      </c>
      <c r="H47" s="211">
        <f t="shared" si="8"/>
        <v>8817</v>
      </c>
      <c r="I47" s="283">
        <f>ROUND(D47*Assumptions!D65,0)</f>
        <v>1317</v>
      </c>
      <c r="J47" s="283">
        <f>ROUND(E47*Assumptions!E65,0)</f>
        <v>4516</v>
      </c>
      <c r="K47" s="283">
        <f>ROUND(F47*Assumptions!F65,0)</f>
        <v>3758</v>
      </c>
      <c r="L47" s="283">
        <f>ROUND(G47*Assumptions!G65,0)</f>
        <v>6503</v>
      </c>
      <c r="M47" s="283">
        <f>ROUND(H47*Assumptions!H65,0)</f>
        <v>7054</v>
      </c>
      <c r="N47" s="283">
        <f t="shared" si="5"/>
        <v>329</v>
      </c>
      <c r="O47" s="283">
        <f t="shared" si="1"/>
        <v>1129</v>
      </c>
      <c r="P47" s="283">
        <f t="shared" si="2"/>
        <v>940</v>
      </c>
      <c r="Q47" s="283">
        <f t="shared" si="3"/>
        <v>1626</v>
      </c>
      <c r="R47" s="283">
        <f t="shared" si="4"/>
        <v>1763</v>
      </c>
    </row>
    <row r="48" spans="2:18">
      <c r="B48" s="295" t="s">
        <v>444</v>
      </c>
      <c r="C48" s="467">
        <v>0.5</v>
      </c>
      <c r="D48" s="211">
        <f t="shared" si="8"/>
        <v>915</v>
      </c>
      <c r="E48" s="211">
        <f t="shared" si="8"/>
        <v>3136</v>
      </c>
      <c r="F48" s="211">
        <f t="shared" si="8"/>
        <v>2610</v>
      </c>
      <c r="G48" s="211">
        <f t="shared" si="8"/>
        <v>4516</v>
      </c>
      <c r="H48" s="211">
        <f t="shared" si="8"/>
        <v>4898</v>
      </c>
      <c r="I48" s="283">
        <f>ROUND(D48*Assumptions!D66,0)</f>
        <v>824</v>
      </c>
      <c r="J48" s="283">
        <f>ROUND(E48*Assumptions!E66,0)</f>
        <v>2822</v>
      </c>
      <c r="K48" s="283">
        <f>ROUND(F48*Assumptions!F66,0)</f>
        <v>2349</v>
      </c>
      <c r="L48" s="283">
        <f>ROUND(G48*Assumptions!G66,0)</f>
        <v>4064</v>
      </c>
      <c r="M48" s="283">
        <f>ROUND(H48*Assumptions!H66,0)</f>
        <v>4408</v>
      </c>
      <c r="N48" s="283">
        <f t="shared" si="5"/>
        <v>91</v>
      </c>
      <c r="O48" s="283">
        <f t="shared" si="1"/>
        <v>314</v>
      </c>
      <c r="P48" s="283">
        <f t="shared" si="2"/>
        <v>261</v>
      </c>
      <c r="Q48" s="283">
        <f t="shared" si="3"/>
        <v>452</v>
      </c>
      <c r="R48" s="283">
        <f t="shared" si="4"/>
        <v>490</v>
      </c>
    </row>
    <row r="49" spans="2:18" ht="13.5" thickBot="1">
      <c r="B49" s="297" t="s">
        <v>257</v>
      </c>
      <c r="C49" s="468">
        <v>0.1</v>
      </c>
      <c r="D49" s="211">
        <f t="shared" si="8"/>
        <v>183</v>
      </c>
      <c r="E49" s="211">
        <f t="shared" si="8"/>
        <v>627</v>
      </c>
      <c r="F49" s="211">
        <f t="shared" si="8"/>
        <v>522</v>
      </c>
      <c r="G49" s="211">
        <f t="shared" si="8"/>
        <v>903</v>
      </c>
      <c r="H49" s="211">
        <f t="shared" si="8"/>
        <v>980</v>
      </c>
      <c r="I49" s="283">
        <f>ROUND(D49*Assumptions!D67,0)</f>
        <v>18</v>
      </c>
      <c r="J49" s="283">
        <f>ROUND(E49*Assumptions!E67,0)</f>
        <v>63</v>
      </c>
      <c r="K49" s="283">
        <f>ROUND(F49*Assumptions!F67,0)</f>
        <v>52</v>
      </c>
      <c r="L49" s="283">
        <f>ROUND(G49*Assumptions!G67,0)</f>
        <v>90</v>
      </c>
      <c r="M49" s="283">
        <f>ROUND(H49*Assumptions!H67,0)</f>
        <v>98</v>
      </c>
      <c r="N49" s="283">
        <f t="shared" si="5"/>
        <v>165</v>
      </c>
      <c r="O49" s="283">
        <f t="shared" si="1"/>
        <v>564</v>
      </c>
      <c r="P49" s="283">
        <f t="shared" si="2"/>
        <v>470</v>
      </c>
      <c r="Q49" s="283">
        <f t="shared" si="3"/>
        <v>813</v>
      </c>
      <c r="R49" s="283">
        <f t="shared" si="4"/>
        <v>882</v>
      </c>
    </row>
    <row r="50" spans="2:18" ht="13.5" thickBot="1">
      <c r="B50" s="385" t="s">
        <v>323</v>
      </c>
      <c r="C50" s="382"/>
      <c r="N50" s="283">
        <f t="shared" si="5"/>
        <v>0</v>
      </c>
      <c r="O50" s="283">
        <f t="shared" si="1"/>
        <v>0</v>
      </c>
      <c r="P50" s="283">
        <f t="shared" si="2"/>
        <v>0</v>
      </c>
      <c r="Q50" s="283">
        <f t="shared" si="3"/>
        <v>0</v>
      </c>
      <c r="R50" s="283">
        <f t="shared" si="4"/>
        <v>0</v>
      </c>
    </row>
    <row r="51" spans="2:18">
      <c r="B51" s="304" t="s">
        <v>528</v>
      </c>
      <c r="C51" s="466">
        <v>0.2</v>
      </c>
      <c r="D51" s="211">
        <f t="shared" ref="D51:H63" si="9">ROUND($C51*D$9,0)</f>
        <v>366</v>
      </c>
      <c r="E51" s="211">
        <f t="shared" si="9"/>
        <v>1254</v>
      </c>
      <c r="F51" s="211">
        <f t="shared" si="9"/>
        <v>1044</v>
      </c>
      <c r="G51" s="211">
        <f t="shared" si="9"/>
        <v>1806</v>
      </c>
      <c r="H51" s="211">
        <f t="shared" si="9"/>
        <v>1959</v>
      </c>
      <c r="I51" s="283">
        <f>ROUND(D51*Assumptions!D69,0)</f>
        <v>37</v>
      </c>
      <c r="J51" s="283">
        <f>ROUND(E51*Assumptions!E69,0)</f>
        <v>125</v>
      </c>
      <c r="K51" s="283">
        <f>ROUND(F51*Assumptions!F69,0)</f>
        <v>104</v>
      </c>
      <c r="L51" s="283">
        <f>ROUND(G51*Assumptions!G69,0)</f>
        <v>181</v>
      </c>
      <c r="M51" s="283">
        <f>ROUND(H51*Assumptions!H69,0)</f>
        <v>196</v>
      </c>
      <c r="N51" s="283">
        <f t="shared" si="5"/>
        <v>329</v>
      </c>
      <c r="O51" s="283">
        <f t="shared" si="1"/>
        <v>1129</v>
      </c>
      <c r="P51" s="283">
        <f t="shared" si="2"/>
        <v>940</v>
      </c>
      <c r="Q51" s="283">
        <f t="shared" si="3"/>
        <v>1625</v>
      </c>
      <c r="R51" s="283">
        <f t="shared" si="4"/>
        <v>1763</v>
      </c>
    </row>
    <row r="52" spans="2:18">
      <c r="B52" s="279" t="s">
        <v>239</v>
      </c>
      <c r="C52" s="467">
        <v>0.2</v>
      </c>
      <c r="D52" s="211">
        <f t="shared" si="9"/>
        <v>366</v>
      </c>
      <c r="E52" s="211">
        <f t="shared" si="9"/>
        <v>1254</v>
      </c>
      <c r="F52" s="211">
        <f t="shared" si="9"/>
        <v>1044</v>
      </c>
      <c r="G52" s="211">
        <f t="shared" si="9"/>
        <v>1806</v>
      </c>
      <c r="H52" s="211">
        <f t="shared" si="9"/>
        <v>1959</v>
      </c>
      <c r="I52" s="283">
        <f>ROUND(D52*Assumptions!D70,0)</f>
        <v>37</v>
      </c>
      <c r="J52" s="283">
        <f>ROUND(E52*Assumptions!E70,0)</f>
        <v>125</v>
      </c>
      <c r="K52" s="283">
        <f>ROUND(F52*Assumptions!F70,0)</f>
        <v>104</v>
      </c>
      <c r="L52" s="283">
        <f>ROUND(G52*Assumptions!G70,0)</f>
        <v>181</v>
      </c>
      <c r="M52" s="283">
        <f>ROUND(H52*Assumptions!H70,0)</f>
        <v>196</v>
      </c>
      <c r="N52" s="283">
        <f t="shared" si="5"/>
        <v>329</v>
      </c>
      <c r="O52" s="283">
        <f t="shared" si="1"/>
        <v>1129</v>
      </c>
      <c r="P52" s="283">
        <f t="shared" si="2"/>
        <v>940</v>
      </c>
      <c r="Q52" s="283">
        <f t="shared" si="3"/>
        <v>1625</v>
      </c>
      <c r="R52" s="283">
        <f t="shared" si="4"/>
        <v>1763</v>
      </c>
    </row>
    <row r="53" spans="2:18">
      <c r="B53" s="279" t="s">
        <v>242</v>
      </c>
      <c r="C53" s="467">
        <v>0.2</v>
      </c>
      <c r="D53" s="211">
        <f t="shared" si="9"/>
        <v>366</v>
      </c>
      <c r="E53" s="211">
        <f t="shared" si="9"/>
        <v>1254</v>
      </c>
      <c r="F53" s="211">
        <f t="shared" si="9"/>
        <v>1044</v>
      </c>
      <c r="G53" s="211">
        <f t="shared" si="9"/>
        <v>1806</v>
      </c>
      <c r="H53" s="211">
        <f t="shared" si="9"/>
        <v>1959</v>
      </c>
      <c r="I53" s="283">
        <f>ROUND(D53*Assumptions!D71,0)</f>
        <v>37</v>
      </c>
      <c r="J53" s="283">
        <f>ROUND(E53*Assumptions!E71,0)</f>
        <v>125</v>
      </c>
      <c r="K53" s="283">
        <f>ROUND(F53*Assumptions!F71,0)</f>
        <v>104</v>
      </c>
      <c r="L53" s="283">
        <f>ROUND(G53*Assumptions!G71,0)</f>
        <v>181</v>
      </c>
      <c r="M53" s="283">
        <f>ROUND(H53*Assumptions!H71,0)</f>
        <v>196</v>
      </c>
      <c r="N53" s="283">
        <f t="shared" si="5"/>
        <v>329</v>
      </c>
      <c r="O53" s="283">
        <f t="shared" si="1"/>
        <v>1129</v>
      </c>
      <c r="P53" s="283">
        <f t="shared" si="2"/>
        <v>940</v>
      </c>
      <c r="Q53" s="283">
        <f t="shared" si="3"/>
        <v>1625</v>
      </c>
      <c r="R53" s="283">
        <f t="shared" si="4"/>
        <v>1763</v>
      </c>
    </row>
    <row r="54" spans="2:18">
      <c r="B54" s="279" t="s">
        <v>299</v>
      </c>
      <c r="C54" s="467">
        <v>0.4</v>
      </c>
      <c r="D54" s="211">
        <f t="shared" si="9"/>
        <v>732</v>
      </c>
      <c r="E54" s="211">
        <f t="shared" si="9"/>
        <v>2509</v>
      </c>
      <c r="F54" s="211">
        <f t="shared" si="9"/>
        <v>2088</v>
      </c>
      <c r="G54" s="211">
        <f t="shared" si="9"/>
        <v>3613</v>
      </c>
      <c r="H54" s="211">
        <f t="shared" si="9"/>
        <v>3919</v>
      </c>
      <c r="I54" s="283">
        <f>ROUND(D54*Assumptions!D72,0)</f>
        <v>73</v>
      </c>
      <c r="J54" s="283">
        <f>ROUND(E54*Assumptions!E72,0)</f>
        <v>251</v>
      </c>
      <c r="K54" s="283">
        <f>ROUND(F54*Assumptions!F72,0)</f>
        <v>209</v>
      </c>
      <c r="L54" s="283">
        <f>ROUND(G54*Assumptions!G72,0)</f>
        <v>361</v>
      </c>
      <c r="M54" s="283">
        <f>ROUND(H54*Assumptions!H72,0)</f>
        <v>392</v>
      </c>
      <c r="N54" s="283">
        <f t="shared" si="5"/>
        <v>659</v>
      </c>
      <c r="O54" s="283">
        <f t="shared" si="1"/>
        <v>2258</v>
      </c>
      <c r="P54" s="283">
        <f t="shared" si="2"/>
        <v>1879</v>
      </c>
      <c r="Q54" s="283">
        <f t="shared" si="3"/>
        <v>3252</v>
      </c>
      <c r="R54" s="283">
        <f t="shared" si="4"/>
        <v>3527</v>
      </c>
    </row>
    <row r="55" spans="2:18">
      <c r="B55" s="279" t="s">
        <v>446</v>
      </c>
      <c r="C55" s="467">
        <v>0.4</v>
      </c>
      <c r="D55" s="211">
        <f t="shared" si="9"/>
        <v>732</v>
      </c>
      <c r="E55" s="211">
        <f t="shared" si="9"/>
        <v>2509</v>
      </c>
      <c r="F55" s="211">
        <f t="shared" si="9"/>
        <v>2088</v>
      </c>
      <c r="G55" s="211">
        <f t="shared" si="9"/>
        <v>3613</v>
      </c>
      <c r="H55" s="211">
        <f t="shared" si="9"/>
        <v>3919</v>
      </c>
      <c r="I55" s="283">
        <f>ROUND(D55*Assumptions!D73,0)</f>
        <v>73</v>
      </c>
      <c r="J55" s="283">
        <f>ROUND(E55*Assumptions!E73,0)</f>
        <v>251</v>
      </c>
      <c r="K55" s="283">
        <f>ROUND(F55*Assumptions!F73,0)</f>
        <v>209</v>
      </c>
      <c r="L55" s="283">
        <f>ROUND(G55*Assumptions!G73,0)</f>
        <v>361</v>
      </c>
      <c r="M55" s="283">
        <f>ROUND(H55*Assumptions!H73,0)</f>
        <v>392</v>
      </c>
      <c r="N55" s="283">
        <f t="shared" si="5"/>
        <v>659</v>
      </c>
      <c r="O55" s="283">
        <f t="shared" si="1"/>
        <v>2258</v>
      </c>
      <c r="P55" s="283">
        <f t="shared" si="2"/>
        <v>1879</v>
      </c>
      <c r="Q55" s="283">
        <f t="shared" si="3"/>
        <v>3252</v>
      </c>
      <c r="R55" s="283">
        <f t="shared" si="4"/>
        <v>3527</v>
      </c>
    </row>
    <row r="56" spans="2:18">
      <c r="B56" s="279" t="s">
        <v>302</v>
      </c>
      <c r="C56" s="467">
        <v>0.2</v>
      </c>
      <c r="D56" s="211">
        <f t="shared" si="9"/>
        <v>366</v>
      </c>
      <c r="E56" s="211">
        <f t="shared" si="9"/>
        <v>1254</v>
      </c>
      <c r="F56" s="211">
        <f t="shared" si="9"/>
        <v>1044</v>
      </c>
      <c r="G56" s="211">
        <f t="shared" si="9"/>
        <v>1806</v>
      </c>
      <c r="H56" s="211">
        <f t="shared" si="9"/>
        <v>1959</v>
      </c>
      <c r="I56" s="283">
        <f>ROUND(D56*Assumptions!D74,0)</f>
        <v>37</v>
      </c>
      <c r="J56" s="283">
        <f>ROUND(E56*Assumptions!E74,0)</f>
        <v>125</v>
      </c>
      <c r="K56" s="283">
        <f>ROUND(F56*Assumptions!F74,0)</f>
        <v>104</v>
      </c>
      <c r="L56" s="283">
        <f>ROUND(G56*Assumptions!G74,0)</f>
        <v>181</v>
      </c>
      <c r="M56" s="283">
        <f>ROUND(H56*Assumptions!H74,0)</f>
        <v>196</v>
      </c>
      <c r="N56" s="283">
        <f t="shared" si="5"/>
        <v>329</v>
      </c>
      <c r="O56" s="283">
        <f t="shared" si="1"/>
        <v>1129</v>
      </c>
      <c r="P56" s="283">
        <f t="shared" si="2"/>
        <v>940</v>
      </c>
      <c r="Q56" s="283">
        <f t="shared" si="3"/>
        <v>1625</v>
      </c>
      <c r="R56" s="283">
        <f t="shared" si="4"/>
        <v>1763</v>
      </c>
    </row>
    <row r="57" spans="2:18">
      <c r="B57" s="279" t="s">
        <v>303</v>
      </c>
      <c r="C57" s="467">
        <v>0.2</v>
      </c>
      <c r="D57" s="211">
        <f t="shared" si="9"/>
        <v>366</v>
      </c>
      <c r="E57" s="211">
        <f t="shared" si="9"/>
        <v>1254</v>
      </c>
      <c r="F57" s="211">
        <f t="shared" si="9"/>
        <v>1044</v>
      </c>
      <c r="G57" s="211">
        <f t="shared" si="9"/>
        <v>1806</v>
      </c>
      <c r="H57" s="211">
        <f t="shared" si="9"/>
        <v>1959</v>
      </c>
      <c r="I57" s="283">
        <f>ROUND(D57*Assumptions!D75,0)</f>
        <v>37</v>
      </c>
      <c r="J57" s="283">
        <f>ROUND(E57*Assumptions!E75,0)</f>
        <v>125</v>
      </c>
      <c r="K57" s="283">
        <f>ROUND(F57*Assumptions!F75,0)</f>
        <v>104</v>
      </c>
      <c r="L57" s="283">
        <f>ROUND(G57*Assumptions!G75,0)</f>
        <v>181</v>
      </c>
      <c r="M57" s="283">
        <f>ROUND(H57*Assumptions!H75,0)</f>
        <v>196</v>
      </c>
      <c r="N57" s="283">
        <f t="shared" si="5"/>
        <v>329</v>
      </c>
      <c r="O57" s="283">
        <f t="shared" si="1"/>
        <v>1129</v>
      </c>
      <c r="P57" s="283">
        <f t="shared" si="2"/>
        <v>940</v>
      </c>
      <c r="Q57" s="283">
        <f t="shared" si="3"/>
        <v>1625</v>
      </c>
      <c r="R57" s="283">
        <f t="shared" si="4"/>
        <v>1763</v>
      </c>
    </row>
    <row r="58" spans="2:18">
      <c r="B58" s="279" t="s">
        <v>304</v>
      </c>
      <c r="C58" s="467">
        <v>0.2</v>
      </c>
      <c r="D58" s="211">
        <f t="shared" si="9"/>
        <v>366</v>
      </c>
      <c r="E58" s="211">
        <f t="shared" si="9"/>
        <v>1254</v>
      </c>
      <c r="F58" s="211">
        <f t="shared" si="9"/>
        <v>1044</v>
      </c>
      <c r="G58" s="211">
        <f t="shared" si="9"/>
        <v>1806</v>
      </c>
      <c r="H58" s="211">
        <f t="shared" si="9"/>
        <v>1959</v>
      </c>
      <c r="I58" s="283">
        <f>ROUND(D58*Assumptions!D76,0)</f>
        <v>37</v>
      </c>
      <c r="J58" s="283">
        <f>ROUND(E58*Assumptions!E76,0)</f>
        <v>125</v>
      </c>
      <c r="K58" s="283">
        <f>ROUND(F58*Assumptions!F76,0)</f>
        <v>104</v>
      </c>
      <c r="L58" s="283">
        <f>ROUND(G58*Assumptions!G76,0)</f>
        <v>181</v>
      </c>
      <c r="M58" s="283">
        <f>ROUND(H58*Assumptions!H76,0)</f>
        <v>196</v>
      </c>
      <c r="N58" s="283">
        <f t="shared" si="5"/>
        <v>329</v>
      </c>
      <c r="O58" s="283">
        <f t="shared" si="1"/>
        <v>1129</v>
      </c>
      <c r="P58" s="283">
        <f t="shared" si="2"/>
        <v>940</v>
      </c>
      <c r="Q58" s="283">
        <f t="shared" si="3"/>
        <v>1625</v>
      </c>
      <c r="R58" s="283">
        <f t="shared" si="4"/>
        <v>1763</v>
      </c>
    </row>
    <row r="59" spans="2:18" ht="13.5" thickBot="1">
      <c r="B59" s="279" t="s">
        <v>306</v>
      </c>
      <c r="C59" s="468">
        <v>0.1</v>
      </c>
      <c r="D59" s="211">
        <f t="shared" si="9"/>
        <v>183</v>
      </c>
      <c r="E59" s="211">
        <f t="shared" si="9"/>
        <v>627</v>
      </c>
      <c r="F59" s="211">
        <f t="shared" si="9"/>
        <v>522</v>
      </c>
      <c r="G59" s="211">
        <f t="shared" si="9"/>
        <v>903</v>
      </c>
      <c r="H59" s="211">
        <f t="shared" si="9"/>
        <v>980</v>
      </c>
      <c r="I59" s="283">
        <f>ROUND(D59*Assumptions!D77,0)</f>
        <v>18</v>
      </c>
      <c r="J59" s="283">
        <f>ROUND(E59*Assumptions!E77,0)</f>
        <v>63</v>
      </c>
      <c r="K59" s="283">
        <f>ROUND(F59*Assumptions!F77,0)</f>
        <v>52</v>
      </c>
      <c r="L59" s="283">
        <f>ROUND(G59*Assumptions!G77,0)</f>
        <v>90</v>
      </c>
      <c r="M59" s="283">
        <f>ROUND(H59*Assumptions!H77,0)</f>
        <v>98</v>
      </c>
      <c r="N59" s="283">
        <f t="shared" si="5"/>
        <v>165</v>
      </c>
      <c r="O59" s="283">
        <f t="shared" si="1"/>
        <v>564</v>
      </c>
      <c r="P59" s="283">
        <f t="shared" si="2"/>
        <v>470</v>
      </c>
      <c r="Q59" s="283">
        <f t="shared" si="3"/>
        <v>813</v>
      </c>
      <c r="R59" s="283">
        <f t="shared" si="4"/>
        <v>882</v>
      </c>
    </row>
    <row r="60" spans="2:18" ht="13.5" thickBot="1">
      <c r="B60" s="305" t="s">
        <v>307</v>
      </c>
      <c r="C60" s="468">
        <v>0.1</v>
      </c>
      <c r="D60" s="211">
        <f t="shared" si="9"/>
        <v>183</v>
      </c>
      <c r="E60" s="211">
        <f t="shared" si="9"/>
        <v>627</v>
      </c>
      <c r="F60" s="211">
        <f t="shared" si="9"/>
        <v>522</v>
      </c>
      <c r="G60" s="211">
        <f t="shared" si="9"/>
        <v>903</v>
      </c>
      <c r="H60" s="211">
        <f t="shared" si="9"/>
        <v>980</v>
      </c>
      <c r="I60" s="283">
        <f>ROUND(D60*Assumptions!D78,0)</f>
        <v>18</v>
      </c>
      <c r="J60" s="283">
        <f>ROUND(E60*Assumptions!E78,0)</f>
        <v>63</v>
      </c>
      <c r="K60" s="283">
        <f>ROUND(F60*Assumptions!F78,0)</f>
        <v>52</v>
      </c>
      <c r="L60" s="283">
        <f>ROUND(G60*Assumptions!G78,0)</f>
        <v>90</v>
      </c>
      <c r="M60" s="283">
        <f>ROUND(H60*Assumptions!H78,0)</f>
        <v>98</v>
      </c>
      <c r="N60" s="283">
        <f t="shared" si="5"/>
        <v>165</v>
      </c>
      <c r="O60" s="283">
        <f t="shared" si="1"/>
        <v>564</v>
      </c>
      <c r="P60" s="283">
        <f t="shared" si="2"/>
        <v>470</v>
      </c>
      <c r="Q60" s="283">
        <f t="shared" si="3"/>
        <v>813</v>
      </c>
      <c r="R60" s="283">
        <f t="shared" si="4"/>
        <v>882</v>
      </c>
    </row>
    <row r="61" spans="2:18" ht="13.5" thickBot="1">
      <c r="B61" s="303" t="s">
        <v>312</v>
      </c>
      <c r="C61" s="468">
        <v>0.9</v>
      </c>
      <c r="D61" s="211">
        <f t="shared" si="9"/>
        <v>1646</v>
      </c>
      <c r="E61" s="211">
        <f t="shared" si="9"/>
        <v>5645</v>
      </c>
      <c r="F61" s="211">
        <f t="shared" si="9"/>
        <v>4698</v>
      </c>
      <c r="G61" s="211">
        <f t="shared" si="9"/>
        <v>8129</v>
      </c>
      <c r="H61" s="211">
        <f t="shared" si="9"/>
        <v>8817</v>
      </c>
      <c r="I61" s="283">
        <f>ROUND(D61*Assumptions!D79,0)</f>
        <v>165</v>
      </c>
      <c r="J61" s="283">
        <f>ROUND(E61*Assumptions!E79,0)</f>
        <v>565</v>
      </c>
      <c r="K61" s="283">
        <f>ROUND(F61*Assumptions!F79,0)</f>
        <v>470</v>
      </c>
      <c r="L61" s="283">
        <f>ROUND(G61*Assumptions!G79,0)</f>
        <v>813</v>
      </c>
      <c r="M61" s="283">
        <f>ROUND(H61*Assumptions!H79,0)</f>
        <v>882</v>
      </c>
      <c r="N61" s="283">
        <f t="shared" si="5"/>
        <v>1481</v>
      </c>
      <c r="O61" s="283">
        <f t="shared" si="1"/>
        <v>5080</v>
      </c>
      <c r="P61" s="283">
        <f t="shared" si="2"/>
        <v>4228</v>
      </c>
      <c r="Q61" s="283">
        <f t="shared" si="3"/>
        <v>7316</v>
      </c>
      <c r="R61" s="283">
        <f t="shared" si="4"/>
        <v>7935</v>
      </c>
    </row>
    <row r="62" spans="2:18" ht="13.5" thickBot="1">
      <c r="B62" s="279" t="s">
        <v>313</v>
      </c>
      <c r="C62" s="468">
        <v>0.2</v>
      </c>
      <c r="D62" s="211">
        <f t="shared" si="9"/>
        <v>366</v>
      </c>
      <c r="E62" s="211">
        <f t="shared" si="9"/>
        <v>1254</v>
      </c>
      <c r="F62" s="211">
        <f t="shared" si="9"/>
        <v>1044</v>
      </c>
      <c r="G62" s="211">
        <f t="shared" si="9"/>
        <v>1806</v>
      </c>
      <c r="H62" s="211">
        <f t="shared" si="9"/>
        <v>1959</v>
      </c>
      <c r="I62" s="283">
        <f>ROUND(D62*Assumptions!D80,0)</f>
        <v>37</v>
      </c>
      <c r="J62" s="283">
        <f>ROUND(E62*Assumptions!E80,0)</f>
        <v>125</v>
      </c>
      <c r="K62" s="283">
        <f>ROUND(F62*Assumptions!F80,0)</f>
        <v>104</v>
      </c>
      <c r="L62" s="283">
        <f>ROUND(G62*Assumptions!G80,0)</f>
        <v>181</v>
      </c>
      <c r="M62" s="283">
        <f>ROUND(H62*Assumptions!H80,0)</f>
        <v>196</v>
      </c>
      <c r="N62" s="283">
        <f t="shared" si="5"/>
        <v>329</v>
      </c>
      <c r="O62" s="283">
        <f t="shared" si="1"/>
        <v>1129</v>
      </c>
      <c r="P62" s="283">
        <f t="shared" si="2"/>
        <v>940</v>
      </c>
      <c r="Q62" s="283">
        <f t="shared" si="3"/>
        <v>1625</v>
      </c>
      <c r="R62" s="283">
        <f t="shared" si="4"/>
        <v>1763</v>
      </c>
    </row>
    <row r="63" spans="2:18" ht="13.5" thickBot="1">
      <c r="B63" s="279" t="s">
        <v>311</v>
      </c>
      <c r="C63" s="468">
        <v>0.4</v>
      </c>
      <c r="D63" s="211">
        <f t="shared" si="9"/>
        <v>732</v>
      </c>
      <c r="E63" s="211">
        <f t="shared" si="9"/>
        <v>2509</v>
      </c>
      <c r="F63" s="211">
        <f t="shared" si="9"/>
        <v>2088</v>
      </c>
      <c r="G63" s="211">
        <f t="shared" si="9"/>
        <v>3613</v>
      </c>
      <c r="H63" s="211">
        <f t="shared" si="9"/>
        <v>3919</v>
      </c>
      <c r="I63" s="283">
        <f>ROUND(D63*Assumptions!D81,0)</f>
        <v>73</v>
      </c>
      <c r="J63" s="283">
        <f>ROUND(E63*Assumptions!E81,0)</f>
        <v>251</v>
      </c>
      <c r="K63" s="283">
        <f>ROUND(F63*Assumptions!F81,0)</f>
        <v>209</v>
      </c>
      <c r="L63" s="283">
        <f>ROUND(G63*Assumptions!G81,0)</f>
        <v>361</v>
      </c>
      <c r="M63" s="283">
        <f>ROUND(H63*Assumptions!H81,0)</f>
        <v>392</v>
      </c>
      <c r="N63" s="283">
        <f t="shared" si="5"/>
        <v>659</v>
      </c>
      <c r="O63" s="283">
        <f t="shared" si="1"/>
        <v>2258</v>
      </c>
      <c r="P63" s="283">
        <f t="shared" si="2"/>
        <v>1879</v>
      </c>
      <c r="Q63" s="283">
        <f t="shared" si="3"/>
        <v>3252</v>
      </c>
      <c r="R63" s="283">
        <f t="shared" si="4"/>
        <v>3527</v>
      </c>
    </row>
    <row r="66" spans="2:18">
      <c r="B66" s="273" t="s">
        <v>346</v>
      </c>
      <c r="D66" s="386">
        <f>Assumptions!D26</f>
        <v>546</v>
      </c>
      <c r="E66" s="386">
        <f>Assumptions!E26</f>
        <v>2808</v>
      </c>
      <c r="F66" s="386">
        <f>Assumptions!F26</f>
        <v>3900</v>
      </c>
      <c r="G66" s="386">
        <f>Assumptions!G26</f>
        <v>9360</v>
      </c>
      <c r="H66" s="386">
        <f>Assumptions!H26</f>
        <v>13260</v>
      </c>
    </row>
    <row r="67" spans="2:18">
      <c r="B67" s="273"/>
      <c r="D67" s="211"/>
      <c r="E67" s="211"/>
      <c r="F67" s="211"/>
      <c r="G67" s="211"/>
      <c r="H67" s="211"/>
    </row>
    <row r="68" spans="2:18" ht="13.5" thickBot="1">
      <c r="B68" s="273" t="s">
        <v>347</v>
      </c>
      <c r="D68" s="458" t="s">
        <v>349</v>
      </c>
      <c r="E68" s="458"/>
      <c r="F68" s="458"/>
      <c r="G68" s="458"/>
      <c r="H68" s="458"/>
      <c r="I68" s="458" t="s">
        <v>350</v>
      </c>
      <c r="J68" s="458"/>
      <c r="K68" s="458"/>
      <c r="L68" s="458"/>
      <c r="M68" s="458"/>
      <c r="N68" s="458" t="s">
        <v>353</v>
      </c>
      <c r="O68" s="458"/>
      <c r="P68" s="458"/>
      <c r="Q68" s="458"/>
      <c r="R68" s="458"/>
    </row>
    <row r="69" spans="2:18" ht="13.5" thickBot="1">
      <c r="B69" s="384" t="s">
        <v>419</v>
      </c>
    </row>
    <row r="70" spans="2:18" ht="13.5" thickBot="1">
      <c r="B70" s="299" t="s">
        <v>524</v>
      </c>
      <c r="C70" s="466">
        <f>C14</f>
        <v>0.3</v>
      </c>
      <c r="D70" s="211">
        <f>ROUND($C70*D$66,0)</f>
        <v>164</v>
      </c>
      <c r="E70" s="211">
        <f t="shared" ref="E70:H85" si="10">ROUND($C70*E$66,0)</f>
        <v>842</v>
      </c>
      <c r="F70" s="211">
        <f t="shared" si="10"/>
        <v>1170</v>
      </c>
      <c r="G70" s="211">
        <f t="shared" si="10"/>
        <v>2808</v>
      </c>
      <c r="H70" s="211">
        <f t="shared" si="10"/>
        <v>3978</v>
      </c>
      <c r="I70" s="211">
        <f>ROUND(D70*Assumptions!D32,0)</f>
        <v>148</v>
      </c>
      <c r="J70" s="211">
        <f>ROUND(E70*Assumptions!E32,0)</f>
        <v>758</v>
      </c>
      <c r="K70" s="211">
        <f>ROUND(F70*Assumptions!F32,0)</f>
        <v>1053</v>
      </c>
      <c r="L70" s="211">
        <f>ROUND(G70*Assumptions!G32,0)</f>
        <v>2527</v>
      </c>
      <c r="M70" s="211">
        <f>ROUND(H70*Assumptions!H32,0)</f>
        <v>3580</v>
      </c>
      <c r="N70" s="283">
        <f>D70-I70</f>
        <v>16</v>
      </c>
      <c r="O70" s="283">
        <f t="shared" ref="O70:O119" si="11">E70-J70</f>
        <v>84</v>
      </c>
      <c r="P70" s="283">
        <f t="shared" ref="P70:P119" si="12">F70-K70</f>
        <v>117</v>
      </c>
      <c r="Q70" s="283">
        <f t="shared" ref="Q70:Q119" si="13">G70-L70</f>
        <v>281</v>
      </c>
      <c r="R70" s="283">
        <f t="shared" ref="R70:R119" si="14">H70-M70</f>
        <v>398</v>
      </c>
    </row>
    <row r="71" spans="2:18" ht="13.5" thickBot="1">
      <c r="B71" s="288" t="s">
        <v>525</v>
      </c>
      <c r="C71" s="466">
        <f t="shared" ref="C71:C119" si="15">C15</f>
        <v>0.1</v>
      </c>
      <c r="D71" s="211">
        <f t="shared" ref="D71:D85" si="16">ROUND($C71*D$66,0)</f>
        <v>55</v>
      </c>
      <c r="E71" s="211">
        <f t="shared" si="10"/>
        <v>281</v>
      </c>
      <c r="F71" s="211">
        <f t="shared" si="10"/>
        <v>390</v>
      </c>
      <c r="G71" s="211">
        <f t="shared" si="10"/>
        <v>936</v>
      </c>
      <c r="H71" s="211">
        <f t="shared" si="10"/>
        <v>1326</v>
      </c>
      <c r="I71" s="211">
        <f>ROUND(D71*Assumptions!D33,0)</f>
        <v>55</v>
      </c>
      <c r="J71" s="211">
        <f>ROUND(E71*Assumptions!E33,0)</f>
        <v>281</v>
      </c>
      <c r="K71" s="211">
        <f>ROUND(F71*Assumptions!F33,0)</f>
        <v>390</v>
      </c>
      <c r="L71" s="211">
        <f>ROUND(G71*Assumptions!G33,0)</f>
        <v>936</v>
      </c>
      <c r="M71" s="211">
        <f>ROUND(H71*Assumptions!H33,0)</f>
        <v>1326</v>
      </c>
      <c r="N71" s="283">
        <f t="shared" ref="N71:N119" si="17">D71-I71</f>
        <v>0</v>
      </c>
      <c r="O71" s="283">
        <f t="shared" si="11"/>
        <v>0</v>
      </c>
      <c r="P71" s="283">
        <f t="shared" si="12"/>
        <v>0</v>
      </c>
      <c r="Q71" s="283">
        <f t="shared" si="13"/>
        <v>0</v>
      </c>
      <c r="R71" s="283">
        <f t="shared" si="14"/>
        <v>0</v>
      </c>
    </row>
    <row r="72" spans="2:18" ht="13.5" thickBot="1">
      <c r="B72" s="289" t="s">
        <v>439</v>
      </c>
      <c r="C72" s="466">
        <f t="shared" si="15"/>
        <v>0.3</v>
      </c>
      <c r="D72" s="211">
        <f t="shared" si="16"/>
        <v>164</v>
      </c>
      <c r="E72" s="211">
        <f t="shared" si="10"/>
        <v>842</v>
      </c>
      <c r="F72" s="211">
        <f t="shared" si="10"/>
        <v>1170</v>
      </c>
      <c r="G72" s="211">
        <f t="shared" si="10"/>
        <v>2808</v>
      </c>
      <c r="H72" s="211">
        <f t="shared" si="10"/>
        <v>3978</v>
      </c>
      <c r="I72" s="211">
        <f>ROUND(D72*Assumptions!D34,0)</f>
        <v>131</v>
      </c>
      <c r="J72" s="211">
        <f>ROUND(E72*Assumptions!E34,0)</f>
        <v>674</v>
      </c>
      <c r="K72" s="211">
        <f>ROUND(F72*Assumptions!F34,0)</f>
        <v>936</v>
      </c>
      <c r="L72" s="211">
        <f>ROUND(G72*Assumptions!G34,0)</f>
        <v>2246</v>
      </c>
      <c r="M72" s="211">
        <f>ROUND(H72*Assumptions!H34,0)</f>
        <v>3182</v>
      </c>
      <c r="N72" s="283">
        <f t="shared" si="17"/>
        <v>33</v>
      </c>
      <c r="O72" s="283">
        <f t="shared" si="11"/>
        <v>168</v>
      </c>
      <c r="P72" s="283">
        <f t="shared" si="12"/>
        <v>234</v>
      </c>
      <c r="Q72" s="283">
        <f t="shared" si="13"/>
        <v>562</v>
      </c>
      <c r="R72" s="283">
        <f t="shared" si="14"/>
        <v>796</v>
      </c>
    </row>
    <row r="73" spans="2:18" ht="13.5" thickBot="1">
      <c r="B73" s="288" t="s">
        <v>440</v>
      </c>
      <c r="C73" s="466">
        <f t="shared" si="15"/>
        <v>0.3</v>
      </c>
      <c r="D73" s="211">
        <f t="shared" si="16"/>
        <v>164</v>
      </c>
      <c r="E73" s="211">
        <f t="shared" si="10"/>
        <v>842</v>
      </c>
      <c r="F73" s="211">
        <f t="shared" si="10"/>
        <v>1170</v>
      </c>
      <c r="G73" s="211">
        <f t="shared" si="10"/>
        <v>2808</v>
      </c>
      <c r="H73" s="211">
        <f t="shared" si="10"/>
        <v>3978</v>
      </c>
      <c r="I73" s="211">
        <f>ROUND(D73*Assumptions!D35,0)</f>
        <v>131</v>
      </c>
      <c r="J73" s="211">
        <f>ROUND(E73*Assumptions!E35,0)</f>
        <v>674</v>
      </c>
      <c r="K73" s="211">
        <f>ROUND(F73*Assumptions!F35,0)</f>
        <v>936</v>
      </c>
      <c r="L73" s="211">
        <f>ROUND(G73*Assumptions!G35,0)</f>
        <v>2246</v>
      </c>
      <c r="M73" s="211">
        <f>ROUND(H73*Assumptions!H35,0)</f>
        <v>3182</v>
      </c>
      <c r="N73" s="283">
        <f t="shared" si="17"/>
        <v>33</v>
      </c>
      <c r="O73" s="283">
        <f t="shared" si="11"/>
        <v>168</v>
      </c>
      <c r="P73" s="283">
        <f t="shared" si="12"/>
        <v>234</v>
      </c>
      <c r="Q73" s="283">
        <f t="shared" si="13"/>
        <v>562</v>
      </c>
      <c r="R73" s="283">
        <f t="shared" si="14"/>
        <v>796</v>
      </c>
    </row>
    <row r="74" spans="2:18" ht="13.5" thickBot="1">
      <c r="B74" s="288" t="s">
        <v>441</v>
      </c>
      <c r="C74" s="466">
        <f t="shared" si="15"/>
        <v>0.1</v>
      </c>
      <c r="D74" s="211">
        <f t="shared" si="16"/>
        <v>55</v>
      </c>
      <c r="E74" s="211">
        <f t="shared" si="10"/>
        <v>281</v>
      </c>
      <c r="F74" s="211">
        <f t="shared" si="10"/>
        <v>390</v>
      </c>
      <c r="G74" s="211">
        <f t="shared" si="10"/>
        <v>936</v>
      </c>
      <c r="H74" s="211">
        <f t="shared" si="10"/>
        <v>1326</v>
      </c>
      <c r="I74" s="211">
        <f>ROUND(D74*Assumptions!D36,0)</f>
        <v>55</v>
      </c>
      <c r="J74" s="211">
        <f>ROUND(E74*Assumptions!E36,0)</f>
        <v>281</v>
      </c>
      <c r="K74" s="211">
        <f>ROUND(F74*Assumptions!F36,0)</f>
        <v>390</v>
      </c>
      <c r="L74" s="211">
        <f>ROUND(G74*Assumptions!G36,0)</f>
        <v>936</v>
      </c>
      <c r="M74" s="211">
        <f>ROUND(H74*Assumptions!H36,0)</f>
        <v>1326</v>
      </c>
      <c r="N74" s="283">
        <f t="shared" si="17"/>
        <v>0</v>
      </c>
      <c r="O74" s="283">
        <f t="shared" si="11"/>
        <v>0</v>
      </c>
      <c r="P74" s="283">
        <f t="shared" si="12"/>
        <v>0</v>
      </c>
      <c r="Q74" s="283">
        <f t="shared" si="13"/>
        <v>0</v>
      </c>
      <c r="R74" s="283">
        <f t="shared" si="14"/>
        <v>0</v>
      </c>
    </row>
    <row r="75" spans="2:18" ht="13.5" thickBot="1">
      <c r="B75" s="288" t="s">
        <v>239</v>
      </c>
      <c r="C75" s="466">
        <f t="shared" si="15"/>
        <v>0.3</v>
      </c>
      <c r="D75" s="211">
        <f t="shared" si="16"/>
        <v>164</v>
      </c>
      <c r="E75" s="211">
        <f t="shared" si="10"/>
        <v>842</v>
      </c>
      <c r="F75" s="211">
        <f t="shared" si="10"/>
        <v>1170</v>
      </c>
      <c r="G75" s="211">
        <f t="shared" si="10"/>
        <v>2808</v>
      </c>
      <c r="H75" s="211">
        <f t="shared" si="10"/>
        <v>3978</v>
      </c>
      <c r="I75" s="211">
        <f>ROUND(D75*Assumptions!D37,0)</f>
        <v>16</v>
      </c>
      <c r="J75" s="211">
        <f>ROUND(E75*Assumptions!E37,0)</f>
        <v>84</v>
      </c>
      <c r="K75" s="211">
        <f>ROUND(F75*Assumptions!F37,0)</f>
        <v>117</v>
      </c>
      <c r="L75" s="211">
        <f>ROUND(G75*Assumptions!G37,0)</f>
        <v>281</v>
      </c>
      <c r="M75" s="211">
        <f>ROUND(H75*Assumptions!H37,0)</f>
        <v>398</v>
      </c>
      <c r="N75" s="283">
        <f t="shared" si="17"/>
        <v>148</v>
      </c>
      <c r="O75" s="283">
        <f t="shared" si="11"/>
        <v>758</v>
      </c>
      <c r="P75" s="283">
        <f t="shared" si="12"/>
        <v>1053</v>
      </c>
      <c r="Q75" s="283">
        <f t="shared" si="13"/>
        <v>2527</v>
      </c>
      <c r="R75" s="283">
        <f t="shared" si="14"/>
        <v>3580</v>
      </c>
    </row>
    <row r="76" spans="2:18" ht="13.5" thickBot="1">
      <c r="B76" s="288" t="s">
        <v>420</v>
      </c>
      <c r="C76" s="466">
        <f t="shared" si="15"/>
        <v>0.5</v>
      </c>
      <c r="D76" s="211">
        <f t="shared" si="16"/>
        <v>273</v>
      </c>
      <c r="E76" s="211">
        <f t="shared" si="10"/>
        <v>1404</v>
      </c>
      <c r="F76" s="211">
        <f t="shared" si="10"/>
        <v>1950</v>
      </c>
      <c r="G76" s="211">
        <f t="shared" si="10"/>
        <v>4680</v>
      </c>
      <c r="H76" s="211">
        <f t="shared" si="10"/>
        <v>6630</v>
      </c>
      <c r="I76" s="211">
        <f>ROUND(D76*Assumptions!D38,0)</f>
        <v>273</v>
      </c>
      <c r="J76" s="211">
        <f>ROUND(E76*Assumptions!E38,0)</f>
        <v>1404</v>
      </c>
      <c r="K76" s="211">
        <f>ROUND(F76*Assumptions!F38,0)</f>
        <v>1950</v>
      </c>
      <c r="L76" s="211">
        <f>ROUND(G76*Assumptions!G38,0)</f>
        <v>4680</v>
      </c>
      <c r="M76" s="211">
        <f>ROUND(H76*Assumptions!H38,0)</f>
        <v>6630</v>
      </c>
      <c r="N76" s="283">
        <f t="shared" si="17"/>
        <v>0</v>
      </c>
      <c r="O76" s="283">
        <f t="shared" si="11"/>
        <v>0</v>
      </c>
      <c r="P76" s="283">
        <f t="shared" si="12"/>
        <v>0</v>
      </c>
      <c r="Q76" s="283">
        <f t="shared" si="13"/>
        <v>0</v>
      </c>
      <c r="R76" s="283">
        <f t="shared" si="14"/>
        <v>0</v>
      </c>
    </row>
    <row r="77" spans="2:18" ht="13.5" thickBot="1">
      <c r="B77" s="288" t="s">
        <v>421</v>
      </c>
      <c r="C77" s="466">
        <f t="shared" si="15"/>
        <v>1</v>
      </c>
      <c r="D77" s="211">
        <f t="shared" si="16"/>
        <v>546</v>
      </c>
      <c r="E77" s="211">
        <f t="shared" si="10"/>
        <v>2808</v>
      </c>
      <c r="F77" s="211">
        <f t="shared" si="10"/>
        <v>3900</v>
      </c>
      <c r="G77" s="211">
        <f t="shared" si="10"/>
        <v>9360</v>
      </c>
      <c r="H77" s="211">
        <f t="shared" si="10"/>
        <v>13260</v>
      </c>
      <c r="I77" s="211">
        <f>ROUND(D77*Assumptions!D39,0)</f>
        <v>491</v>
      </c>
      <c r="J77" s="211">
        <f>ROUND(E77*Assumptions!E39,0)</f>
        <v>2527</v>
      </c>
      <c r="K77" s="211">
        <f>ROUND(F77*Assumptions!F39,0)</f>
        <v>3510</v>
      </c>
      <c r="L77" s="211">
        <f>ROUND(G77*Assumptions!G39,0)</f>
        <v>8424</v>
      </c>
      <c r="M77" s="211">
        <f>ROUND(H77*Assumptions!H39,0)</f>
        <v>11934</v>
      </c>
      <c r="N77" s="283">
        <f t="shared" si="17"/>
        <v>55</v>
      </c>
      <c r="O77" s="283">
        <f t="shared" si="11"/>
        <v>281</v>
      </c>
      <c r="P77" s="283">
        <f t="shared" si="12"/>
        <v>390</v>
      </c>
      <c r="Q77" s="283">
        <f t="shared" si="13"/>
        <v>936</v>
      </c>
      <c r="R77" s="283">
        <f t="shared" si="14"/>
        <v>1326</v>
      </c>
    </row>
    <row r="78" spans="2:18" ht="13.5" thickBot="1">
      <c r="B78" s="289" t="s">
        <v>521</v>
      </c>
      <c r="C78" s="466">
        <f t="shared" si="15"/>
        <v>0.9</v>
      </c>
      <c r="D78" s="211">
        <f t="shared" si="16"/>
        <v>491</v>
      </c>
      <c r="E78" s="211">
        <f t="shared" si="10"/>
        <v>2527</v>
      </c>
      <c r="F78" s="211">
        <f t="shared" si="10"/>
        <v>3510</v>
      </c>
      <c r="G78" s="211">
        <f t="shared" si="10"/>
        <v>8424</v>
      </c>
      <c r="H78" s="211">
        <f t="shared" si="10"/>
        <v>11934</v>
      </c>
      <c r="I78" s="211">
        <f>ROUND(D78*Assumptions!D40,0)</f>
        <v>393</v>
      </c>
      <c r="J78" s="211">
        <f>ROUND(E78*Assumptions!E40,0)</f>
        <v>2022</v>
      </c>
      <c r="K78" s="211">
        <f>ROUND(F78*Assumptions!F40,0)</f>
        <v>2808</v>
      </c>
      <c r="L78" s="211">
        <f>ROUND(G78*Assumptions!G40,0)</f>
        <v>6739</v>
      </c>
      <c r="M78" s="211">
        <f>ROUND(H78*Assumptions!H40,0)</f>
        <v>9547</v>
      </c>
      <c r="N78" s="283">
        <f t="shared" si="17"/>
        <v>98</v>
      </c>
      <c r="O78" s="283">
        <f t="shared" si="11"/>
        <v>505</v>
      </c>
      <c r="P78" s="283">
        <f t="shared" si="12"/>
        <v>702</v>
      </c>
      <c r="Q78" s="283">
        <f t="shared" si="13"/>
        <v>1685</v>
      </c>
      <c r="R78" s="283">
        <f t="shared" si="14"/>
        <v>2387</v>
      </c>
    </row>
    <row r="79" spans="2:18" ht="13.5" thickBot="1">
      <c r="B79" s="289" t="s">
        <v>422</v>
      </c>
      <c r="C79" s="466">
        <f t="shared" si="15"/>
        <v>0.2</v>
      </c>
      <c r="D79" s="211">
        <f t="shared" si="16"/>
        <v>109</v>
      </c>
      <c r="E79" s="211">
        <f t="shared" si="10"/>
        <v>562</v>
      </c>
      <c r="F79" s="211">
        <f t="shared" si="10"/>
        <v>780</v>
      </c>
      <c r="G79" s="211">
        <f t="shared" si="10"/>
        <v>1872</v>
      </c>
      <c r="H79" s="211">
        <f t="shared" si="10"/>
        <v>2652</v>
      </c>
      <c r="I79" s="211">
        <f>ROUND(D79*Assumptions!D41,0)</f>
        <v>87</v>
      </c>
      <c r="J79" s="211">
        <f>ROUND(E79*Assumptions!E41,0)</f>
        <v>450</v>
      </c>
      <c r="K79" s="211">
        <f>ROUND(F79*Assumptions!F41,0)</f>
        <v>624</v>
      </c>
      <c r="L79" s="211">
        <f>ROUND(G79*Assumptions!G41,0)</f>
        <v>1498</v>
      </c>
      <c r="M79" s="211">
        <f>ROUND(H79*Assumptions!H41,0)</f>
        <v>2122</v>
      </c>
      <c r="N79" s="283">
        <f t="shared" si="17"/>
        <v>22</v>
      </c>
      <c r="O79" s="283">
        <f t="shared" si="11"/>
        <v>112</v>
      </c>
      <c r="P79" s="283">
        <f t="shared" si="12"/>
        <v>156</v>
      </c>
      <c r="Q79" s="283">
        <f t="shared" si="13"/>
        <v>374</v>
      </c>
      <c r="R79" s="283">
        <f t="shared" si="14"/>
        <v>530</v>
      </c>
    </row>
    <row r="80" spans="2:18" ht="13.5" thickBot="1">
      <c r="B80" s="288" t="s">
        <v>423</v>
      </c>
      <c r="C80" s="466">
        <f t="shared" si="15"/>
        <v>0.9</v>
      </c>
      <c r="D80" s="211">
        <f t="shared" si="16"/>
        <v>491</v>
      </c>
      <c r="E80" s="211">
        <f t="shared" si="10"/>
        <v>2527</v>
      </c>
      <c r="F80" s="211">
        <f t="shared" si="10"/>
        <v>3510</v>
      </c>
      <c r="G80" s="211">
        <f t="shared" si="10"/>
        <v>8424</v>
      </c>
      <c r="H80" s="211">
        <f t="shared" si="10"/>
        <v>11934</v>
      </c>
      <c r="I80" s="211">
        <f>ROUND(D80*Assumptions!D42,0)</f>
        <v>393</v>
      </c>
      <c r="J80" s="211">
        <f>ROUND(E80*Assumptions!E42,0)</f>
        <v>2022</v>
      </c>
      <c r="K80" s="211">
        <f>ROUND(F80*Assumptions!F42,0)</f>
        <v>2808</v>
      </c>
      <c r="L80" s="211">
        <f>ROUND(G80*Assumptions!G42,0)</f>
        <v>6739</v>
      </c>
      <c r="M80" s="211">
        <f>ROUND(H80*Assumptions!H42,0)</f>
        <v>9547</v>
      </c>
      <c r="N80" s="283">
        <f t="shared" si="17"/>
        <v>98</v>
      </c>
      <c r="O80" s="283">
        <f t="shared" si="11"/>
        <v>505</v>
      </c>
      <c r="P80" s="283">
        <f t="shared" si="12"/>
        <v>702</v>
      </c>
      <c r="Q80" s="283">
        <f t="shared" si="13"/>
        <v>1685</v>
      </c>
      <c r="R80" s="283">
        <f t="shared" si="14"/>
        <v>2387</v>
      </c>
    </row>
    <row r="81" spans="2:18" ht="13.5" thickBot="1">
      <c r="B81" s="288" t="s">
        <v>526</v>
      </c>
      <c r="C81" s="466">
        <f t="shared" si="15"/>
        <v>1</v>
      </c>
      <c r="D81" s="211">
        <f t="shared" si="16"/>
        <v>546</v>
      </c>
      <c r="E81" s="211">
        <f t="shared" si="10"/>
        <v>2808</v>
      </c>
      <c r="F81" s="211">
        <f t="shared" si="10"/>
        <v>3900</v>
      </c>
      <c r="G81" s="211">
        <f t="shared" si="10"/>
        <v>9360</v>
      </c>
      <c r="H81" s="211">
        <f t="shared" si="10"/>
        <v>13260</v>
      </c>
      <c r="I81" s="211">
        <f>ROUND(D81*Assumptions!D43,0)</f>
        <v>491</v>
      </c>
      <c r="J81" s="211">
        <f>ROUND(E81*Assumptions!E43,0)</f>
        <v>2527</v>
      </c>
      <c r="K81" s="211">
        <f>ROUND(F81*Assumptions!F43,0)</f>
        <v>3510</v>
      </c>
      <c r="L81" s="211">
        <f>ROUND(G81*Assumptions!G43,0)</f>
        <v>8424</v>
      </c>
      <c r="M81" s="211">
        <f>ROUND(H81*Assumptions!H43,0)</f>
        <v>11934</v>
      </c>
      <c r="N81" s="283">
        <f t="shared" si="17"/>
        <v>55</v>
      </c>
      <c r="O81" s="283">
        <f t="shared" si="11"/>
        <v>281</v>
      </c>
      <c r="P81" s="283">
        <f t="shared" si="12"/>
        <v>390</v>
      </c>
      <c r="Q81" s="283">
        <f t="shared" si="13"/>
        <v>936</v>
      </c>
      <c r="R81" s="283">
        <f t="shared" si="14"/>
        <v>1326</v>
      </c>
    </row>
    <row r="82" spans="2:18" ht="13.5" thickBot="1">
      <c r="B82" s="288" t="s">
        <v>243</v>
      </c>
      <c r="C82" s="466">
        <f t="shared" si="15"/>
        <v>0.1</v>
      </c>
      <c r="D82" s="211">
        <f t="shared" si="16"/>
        <v>55</v>
      </c>
      <c r="E82" s="211">
        <f t="shared" si="10"/>
        <v>281</v>
      </c>
      <c r="F82" s="211">
        <f t="shared" si="10"/>
        <v>390</v>
      </c>
      <c r="G82" s="211">
        <f t="shared" si="10"/>
        <v>936</v>
      </c>
      <c r="H82" s="211">
        <f t="shared" si="10"/>
        <v>1326</v>
      </c>
      <c r="I82" s="211">
        <f>ROUND(D82*Assumptions!D44,0)</f>
        <v>50</v>
      </c>
      <c r="J82" s="211">
        <f>ROUND(E82*Assumptions!E44,0)</f>
        <v>253</v>
      </c>
      <c r="K82" s="211">
        <f>ROUND(F82*Assumptions!F44,0)</f>
        <v>351</v>
      </c>
      <c r="L82" s="211">
        <f>ROUND(G82*Assumptions!G44,0)</f>
        <v>842</v>
      </c>
      <c r="M82" s="211">
        <f>ROUND(H82*Assumptions!H44,0)</f>
        <v>1193</v>
      </c>
      <c r="N82" s="283">
        <f t="shared" si="17"/>
        <v>5</v>
      </c>
      <c r="O82" s="283">
        <f t="shared" si="11"/>
        <v>28</v>
      </c>
      <c r="P82" s="283">
        <f t="shared" si="12"/>
        <v>39</v>
      </c>
      <c r="Q82" s="283">
        <f t="shared" si="13"/>
        <v>94</v>
      </c>
      <c r="R82" s="283">
        <f t="shared" si="14"/>
        <v>133</v>
      </c>
    </row>
    <row r="83" spans="2:18" ht="13.5" thickBot="1">
      <c r="B83" s="289" t="s">
        <v>244</v>
      </c>
      <c r="C83" s="466">
        <f t="shared" si="15"/>
        <v>0.1</v>
      </c>
      <c r="D83" s="211">
        <f t="shared" si="16"/>
        <v>55</v>
      </c>
      <c r="E83" s="211">
        <f t="shared" si="10"/>
        <v>281</v>
      </c>
      <c r="F83" s="211">
        <f t="shared" si="10"/>
        <v>390</v>
      </c>
      <c r="G83" s="211">
        <f t="shared" si="10"/>
        <v>936</v>
      </c>
      <c r="H83" s="211">
        <f t="shared" si="10"/>
        <v>1326</v>
      </c>
      <c r="I83" s="211">
        <f>ROUND(D83*Assumptions!D45,0)</f>
        <v>55</v>
      </c>
      <c r="J83" s="211">
        <f>ROUND(E83*Assumptions!E45,0)</f>
        <v>281</v>
      </c>
      <c r="K83" s="211">
        <f>ROUND(F83*Assumptions!F45,0)</f>
        <v>390</v>
      </c>
      <c r="L83" s="211">
        <f>ROUND(G83*Assumptions!G45,0)</f>
        <v>936</v>
      </c>
      <c r="M83" s="211">
        <f>ROUND(H83*Assumptions!H45,0)</f>
        <v>1326</v>
      </c>
      <c r="N83" s="283">
        <f t="shared" si="17"/>
        <v>0</v>
      </c>
      <c r="O83" s="283">
        <f t="shared" si="11"/>
        <v>0</v>
      </c>
      <c r="P83" s="283">
        <f t="shared" si="12"/>
        <v>0</v>
      </c>
      <c r="Q83" s="283">
        <f t="shared" si="13"/>
        <v>0</v>
      </c>
      <c r="R83" s="283">
        <f t="shared" si="14"/>
        <v>0</v>
      </c>
    </row>
    <row r="84" spans="2:18" ht="13.5" thickBot="1">
      <c r="B84" s="289" t="s">
        <v>245</v>
      </c>
      <c r="C84" s="466">
        <f t="shared" si="15"/>
        <v>0.1</v>
      </c>
      <c r="D84" s="211">
        <f t="shared" si="16"/>
        <v>55</v>
      </c>
      <c r="E84" s="211">
        <f t="shared" si="10"/>
        <v>281</v>
      </c>
      <c r="F84" s="211">
        <f t="shared" si="10"/>
        <v>390</v>
      </c>
      <c r="G84" s="211">
        <f t="shared" si="10"/>
        <v>936</v>
      </c>
      <c r="H84" s="211">
        <f t="shared" si="10"/>
        <v>1326</v>
      </c>
      <c r="I84" s="211">
        <f>ROUND(D84*Assumptions!D46,0)</f>
        <v>44</v>
      </c>
      <c r="J84" s="211">
        <f>ROUND(E84*Assumptions!E46,0)</f>
        <v>225</v>
      </c>
      <c r="K84" s="211">
        <f>ROUND(F84*Assumptions!F46,0)</f>
        <v>312</v>
      </c>
      <c r="L84" s="211">
        <f>ROUND(G84*Assumptions!G46,0)</f>
        <v>749</v>
      </c>
      <c r="M84" s="211">
        <f>ROUND(H84*Assumptions!H46,0)</f>
        <v>1061</v>
      </c>
      <c r="N84" s="283">
        <f t="shared" si="17"/>
        <v>11</v>
      </c>
      <c r="O84" s="283">
        <f t="shared" si="11"/>
        <v>56</v>
      </c>
      <c r="P84" s="283">
        <f t="shared" si="12"/>
        <v>78</v>
      </c>
      <c r="Q84" s="283">
        <f t="shared" si="13"/>
        <v>187</v>
      </c>
      <c r="R84" s="283">
        <f t="shared" si="14"/>
        <v>265</v>
      </c>
    </row>
    <row r="85" spans="2:18" ht="13.5" thickBot="1">
      <c r="B85" s="290" t="s">
        <v>246</v>
      </c>
      <c r="C85" s="466">
        <f t="shared" si="15"/>
        <v>1</v>
      </c>
      <c r="D85" s="211">
        <f t="shared" si="16"/>
        <v>546</v>
      </c>
      <c r="E85" s="211">
        <f t="shared" si="10"/>
        <v>2808</v>
      </c>
      <c r="F85" s="211">
        <f t="shared" si="10"/>
        <v>3900</v>
      </c>
      <c r="G85" s="211">
        <f t="shared" si="10"/>
        <v>9360</v>
      </c>
      <c r="H85" s="211">
        <f t="shared" si="10"/>
        <v>13260</v>
      </c>
      <c r="I85" s="211">
        <f>ROUND(D85*Assumptions!D47,0)</f>
        <v>491</v>
      </c>
      <c r="J85" s="211">
        <f>ROUND(E85*Assumptions!E47,0)</f>
        <v>2527</v>
      </c>
      <c r="K85" s="211">
        <f>ROUND(F85*Assumptions!F47,0)</f>
        <v>3510</v>
      </c>
      <c r="L85" s="211">
        <f>ROUND(G85*Assumptions!G47,0)</f>
        <v>8424</v>
      </c>
      <c r="M85" s="211">
        <f>ROUND(H85*Assumptions!H47,0)</f>
        <v>11934</v>
      </c>
      <c r="N85" s="283">
        <f t="shared" si="17"/>
        <v>55</v>
      </c>
      <c r="O85" s="283">
        <f t="shared" si="11"/>
        <v>281</v>
      </c>
      <c r="P85" s="283">
        <f t="shared" si="12"/>
        <v>390</v>
      </c>
      <c r="Q85" s="283">
        <f t="shared" si="13"/>
        <v>936</v>
      </c>
      <c r="R85" s="283">
        <f t="shared" si="14"/>
        <v>1326</v>
      </c>
    </row>
    <row r="86" spans="2:18" ht="13.5" thickBot="1">
      <c r="B86" s="384" t="s">
        <v>424</v>
      </c>
      <c r="C86" s="466"/>
      <c r="E86" s="383"/>
      <c r="I86" s="211"/>
      <c r="J86" s="211"/>
      <c r="K86" s="211"/>
      <c r="L86" s="211"/>
      <c r="M86" s="211"/>
      <c r="N86" s="283">
        <f t="shared" si="17"/>
        <v>0</v>
      </c>
      <c r="O86" s="283">
        <f t="shared" si="11"/>
        <v>0</v>
      </c>
      <c r="P86" s="283">
        <f t="shared" si="12"/>
        <v>0</v>
      </c>
      <c r="Q86" s="283">
        <f t="shared" si="13"/>
        <v>0</v>
      </c>
      <c r="R86" s="283">
        <f t="shared" si="14"/>
        <v>0</v>
      </c>
    </row>
    <row r="87" spans="2:18" ht="12.75" customHeight="1" thickBot="1">
      <c r="B87" s="291" t="s">
        <v>442</v>
      </c>
      <c r="C87" s="466">
        <f t="shared" si="15"/>
        <v>0.5</v>
      </c>
      <c r="D87" s="211">
        <f>ROUND($C87*D$66,0)</f>
        <v>273</v>
      </c>
      <c r="E87" s="211">
        <f t="shared" ref="E87:H95" si="18">ROUND($C87*E$66,0)</f>
        <v>1404</v>
      </c>
      <c r="F87" s="211">
        <f t="shared" si="18"/>
        <v>1950</v>
      </c>
      <c r="G87" s="211">
        <f t="shared" si="18"/>
        <v>4680</v>
      </c>
      <c r="H87" s="211">
        <f t="shared" si="18"/>
        <v>6630</v>
      </c>
      <c r="I87" s="211">
        <f>ROUND(D87*Assumptions!D49,0)</f>
        <v>246</v>
      </c>
      <c r="J87" s="211">
        <f>ROUND(E87*Assumptions!E49,0)</f>
        <v>1264</v>
      </c>
      <c r="K87" s="211">
        <f>ROUND(F87*Assumptions!F49,0)</f>
        <v>1755</v>
      </c>
      <c r="L87" s="211">
        <f>ROUND(G87*Assumptions!G49,0)</f>
        <v>4212</v>
      </c>
      <c r="M87" s="211">
        <f>ROUND(H87*Assumptions!H49,0)</f>
        <v>5967</v>
      </c>
      <c r="N87" s="283">
        <f t="shared" si="17"/>
        <v>27</v>
      </c>
      <c r="O87" s="283">
        <f t="shared" si="11"/>
        <v>140</v>
      </c>
      <c r="P87" s="283">
        <f t="shared" si="12"/>
        <v>195</v>
      </c>
      <c r="Q87" s="283">
        <f t="shared" si="13"/>
        <v>468</v>
      </c>
      <c r="R87" s="283">
        <f t="shared" si="14"/>
        <v>663</v>
      </c>
    </row>
    <row r="88" spans="2:18" ht="13.5" thickBot="1">
      <c r="B88" s="292" t="s">
        <v>463</v>
      </c>
      <c r="C88" s="466">
        <f t="shared" si="15"/>
        <v>0.3</v>
      </c>
      <c r="D88" s="211">
        <f t="shared" ref="D88:D95" si="19">ROUND($C88*D$66,0)</f>
        <v>164</v>
      </c>
      <c r="E88" s="211">
        <f t="shared" si="18"/>
        <v>842</v>
      </c>
      <c r="F88" s="211">
        <f t="shared" si="18"/>
        <v>1170</v>
      </c>
      <c r="G88" s="211">
        <f t="shared" si="18"/>
        <v>2808</v>
      </c>
      <c r="H88" s="211">
        <f t="shared" si="18"/>
        <v>3978</v>
      </c>
      <c r="I88" s="211">
        <f>ROUND(D88*Assumptions!D50,0)</f>
        <v>148</v>
      </c>
      <c r="J88" s="211">
        <f>ROUND(E88*Assumptions!E50,0)</f>
        <v>758</v>
      </c>
      <c r="K88" s="211">
        <f>ROUND(F88*Assumptions!F50,0)</f>
        <v>1053</v>
      </c>
      <c r="L88" s="211">
        <f>ROUND(G88*Assumptions!G50,0)</f>
        <v>2527</v>
      </c>
      <c r="M88" s="211">
        <f>ROUND(H88*Assumptions!H50,0)</f>
        <v>3580</v>
      </c>
      <c r="N88" s="283">
        <f t="shared" si="17"/>
        <v>16</v>
      </c>
      <c r="O88" s="283">
        <f t="shared" si="11"/>
        <v>84</v>
      </c>
      <c r="P88" s="283">
        <f t="shared" si="12"/>
        <v>117</v>
      </c>
      <c r="Q88" s="283">
        <f t="shared" si="13"/>
        <v>281</v>
      </c>
      <c r="R88" s="283">
        <f t="shared" si="14"/>
        <v>398</v>
      </c>
    </row>
    <row r="89" spans="2:18" ht="13.5" thickBot="1">
      <c r="B89" s="292" t="s">
        <v>464</v>
      </c>
      <c r="C89" s="466">
        <f t="shared" si="15"/>
        <v>1</v>
      </c>
      <c r="D89" s="211">
        <f t="shared" si="19"/>
        <v>546</v>
      </c>
      <c r="E89" s="211">
        <f t="shared" si="18"/>
        <v>2808</v>
      </c>
      <c r="F89" s="211">
        <f t="shared" si="18"/>
        <v>3900</v>
      </c>
      <c r="G89" s="211">
        <f t="shared" si="18"/>
        <v>9360</v>
      </c>
      <c r="H89" s="211">
        <f t="shared" si="18"/>
        <v>13260</v>
      </c>
      <c r="I89" s="211">
        <f>ROUND(D89*Assumptions!D51,0)</f>
        <v>491</v>
      </c>
      <c r="J89" s="211">
        <f>ROUND(E89*Assumptions!E51,0)</f>
        <v>2527</v>
      </c>
      <c r="K89" s="211">
        <f>ROUND(F89*Assumptions!F51,0)</f>
        <v>3510</v>
      </c>
      <c r="L89" s="211">
        <f>ROUND(G89*Assumptions!G51,0)</f>
        <v>8424</v>
      </c>
      <c r="M89" s="211">
        <f>ROUND(H89*Assumptions!H51,0)</f>
        <v>11934</v>
      </c>
      <c r="N89" s="283">
        <f t="shared" si="17"/>
        <v>55</v>
      </c>
      <c r="O89" s="283">
        <f t="shared" si="11"/>
        <v>281</v>
      </c>
      <c r="P89" s="283">
        <f t="shared" si="12"/>
        <v>390</v>
      </c>
      <c r="Q89" s="283">
        <f t="shared" si="13"/>
        <v>936</v>
      </c>
      <c r="R89" s="283">
        <f t="shared" si="14"/>
        <v>1326</v>
      </c>
    </row>
    <row r="90" spans="2:18" ht="13.5" thickBot="1">
      <c r="B90" s="292" t="s">
        <v>247</v>
      </c>
      <c r="C90" s="466">
        <f t="shared" si="15"/>
        <v>0.9</v>
      </c>
      <c r="D90" s="211">
        <f t="shared" si="19"/>
        <v>491</v>
      </c>
      <c r="E90" s="211">
        <f t="shared" si="18"/>
        <v>2527</v>
      </c>
      <c r="F90" s="211">
        <f t="shared" si="18"/>
        <v>3510</v>
      </c>
      <c r="G90" s="211">
        <f t="shared" si="18"/>
        <v>8424</v>
      </c>
      <c r="H90" s="211">
        <f t="shared" si="18"/>
        <v>11934</v>
      </c>
      <c r="I90" s="211">
        <f>ROUND(D90*Assumptions!D52,0)</f>
        <v>393</v>
      </c>
      <c r="J90" s="211">
        <f>ROUND(E90*Assumptions!E52,0)</f>
        <v>2022</v>
      </c>
      <c r="K90" s="211">
        <f>ROUND(F90*Assumptions!F52,0)</f>
        <v>2808</v>
      </c>
      <c r="L90" s="211">
        <f>ROUND(G90*Assumptions!G52,0)</f>
        <v>6739</v>
      </c>
      <c r="M90" s="211">
        <f>ROUND(H90*Assumptions!H52,0)</f>
        <v>9547</v>
      </c>
      <c r="N90" s="283">
        <f t="shared" si="17"/>
        <v>98</v>
      </c>
      <c r="O90" s="283">
        <f t="shared" si="11"/>
        <v>505</v>
      </c>
      <c r="P90" s="283">
        <f t="shared" si="12"/>
        <v>702</v>
      </c>
      <c r="Q90" s="283">
        <f t="shared" si="13"/>
        <v>1685</v>
      </c>
      <c r="R90" s="283">
        <f t="shared" si="14"/>
        <v>2387</v>
      </c>
    </row>
    <row r="91" spans="2:18" ht="13.5" thickBot="1">
      <c r="B91" s="292" t="s">
        <v>248</v>
      </c>
      <c r="C91" s="466">
        <f t="shared" si="15"/>
        <v>0.1</v>
      </c>
      <c r="D91" s="211">
        <f t="shared" si="19"/>
        <v>55</v>
      </c>
      <c r="E91" s="211">
        <f t="shared" si="18"/>
        <v>281</v>
      </c>
      <c r="F91" s="211">
        <f t="shared" si="18"/>
        <v>390</v>
      </c>
      <c r="G91" s="211">
        <f t="shared" si="18"/>
        <v>936</v>
      </c>
      <c r="H91" s="211">
        <f t="shared" si="18"/>
        <v>1326</v>
      </c>
      <c r="I91" s="211">
        <f>ROUND(D91*Assumptions!D53,0)</f>
        <v>11</v>
      </c>
      <c r="J91" s="211">
        <f>ROUND(E91*Assumptions!E53,0)</f>
        <v>56</v>
      </c>
      <c r="K91" s="211">
        <f>ROUND(F91*Assumptions!F53,0)</f>
        <v>78</v>
      </c>
      <c r="L91" s="211">
        <f>ROUND(G91*Assumptions!G53,0)</f>
        <v>187</v>
      </c>
      <c r="M91" s="211">
        <f>ROUND(H91*Assumptions!H53,0)</f>
        <v>265</v>
      </c>
      <c r="N91" s="283">
        <f t="shared" si="17"/>
        <v>44</v>
      </c>
      <c r="O91" s="283">
        <f t="shared" si="11"/>
        <v>225</v>
      </c>
      <c r="P91" s="283">
        <f t="shared" si="12"/>
        <v>312</v>
      </c>
      <c r="Q91" s="283">
        <f t="shared" si="13"/>
        <v>749</v>
      </c>
      <c r="R91" s="283">
        <f t="shared" si="14"/>
        <v>1061</v>
      </c>
    </row>
    <row r="92" spans="2:18" ht="13.5" thickBot="1">
      <c r="B92" s="293" t="s">
        <v>249</v>
      </c>
      <c r="C92" s="466">
        <f t="shared" si="15"/>
        <v>0.1</v>
      </c>
      <c r="D92" s="211">
        <f t="shared" si="19"/>
        <v>55</v>
      </c>
      <c r="E92" s="211">
        <f t="shared" si="18"/>
        <v>281</v>
      </c>
      <c r="F92" s="211">
        <f t="shared" si="18"/>
        <v>390</v>
      </c>
      <c r="G92" s="211">
        <f t="shared" si="18"/>
        <v>936</v>
      </c>
      <c r="H92" s="211">
        <f t="shared" si="18"/>
        <v>1326</v>
      </c>
      <c r="I92" s="211">
        <f>ROUND(D92*Assumptions!D54,0)</f>
        <v>50</v>
      </c>
      <c r="J92" s="211">
        <f>ROUND(E92*Assumptions!E54,0)</f>
        <v>253</v>
      </c>
      <c r="K92" s="211">
        <f>ROUND(F92*Assumptions!F54,0)</f>
        <v>351</v>
      </c>
      <c r="L92" s="211">
        <f>ROUND(G92*Assumptions!G54,0)</f>
        <v>842</v>
      </c>
      <c r="M92" s="211">
        <f>ROUND(H92*Assumptions!H54,0)</f>
        <v>1193</v>
      </c>
      <c r="N92" s="283">
        <f t="shared" si="17"/>
        <v>5</v>
      </c>
      <c r="O92" s="283">
        <f t="shared" si="11"/>
        <v>28</v>
      </c>
      <c r="P92" s="283">
        <f t="shared" si="12"/>
        <v>39</v>
      </c>
      <c r="Q92" s="283">
        <f t="shared" si="13"/>
        <v>94</v>
      </c>
      <c r="R92" s="283">
        <f t="shared" si="14"/>
        <v>133</v>
      </c>
    </row>
    <row r="93" spans="2:18" ht="13.5" thickBot="1">
      <c r="B93" s="293" t="s">
        <v>425</v>
      </c>
      <c r="C93" s="466">
        <f t="shared" si="15"/>
        <v>0.1</v>
      </c>
      <c r="D93" s="211">
        <f t="shared" si="19"/>
        <v>55</v>
      </c>
      <c r="E93" s="211">
        <f t="shared" si="18"/>
        <v>281</v>
      </c>
      <c r="F93" s="211">
        <f t="shared" si="18"/>
        <v>390</v>
      </c>
      <c r="G93" s="211">
        <f t="shared" si="18"/>
        <v>936</v>
      </c>
      <c r="H93" s="211">
        <f t="shared" si="18"/>
        <v>1326</v>
      </c>
      <c r="I93" s="211">
        <f>ROUND(D93*Assumptions!D55,0)</f>
        <v>44</v>
      </c>
      <c r="J93" s="211">
        <f>ROUND(E93*Assumptions!E55,0)</f>
        <v>225</v>
      </c>
      <c r="K93" s="211">
        <f>ROUND(F93*Assumptions!F55,0)</f>
        <v>312</v>
      </c>
      <c r="L93" s="211">
        <f>ROUND(G93*Assumptions!G55,0)</f>
        <v>749</v>
      </c>
      <c r="M93" s="211">
        <f>ROUND(H93*Assumptions!H55,0)</f>
        <v>1061</v>
      </c>
      <c r="N93" s="283">
        <f t="shared" si="17"/>
        <v>11</v>
      </c>
      <c r="O93" s="283">
        <f t="shared" si="11"/>
        <v>56</v>
      </c>
      <c r="P93" s="283">
        <f t="shared" si="12"/>
        <v>78</v>
      </c>
      <c r="Q93" s="283">
        <f t="shared" si="13"/>
        <v>187</v>
      </c>
      <c r="R93" s="283">
        <f t="shared" si="14"/>
        <v>265</v>
      </c>
    </row>
    <row r="94" spans="2:18" ht="13.5" thickBot="1">
      <c r="B94" s="292" t="s">
        <v>426</v>
      </c>
      <c r="C94" s="466">
        <f t="shared" si="15"/>
        <v>1</v>
      </c>
      <c r="D94" s="211">
        <f t="shared" si="19"/>
        <v>546</v>
      </c>
      <c r="E94" s="211">
        <f t="shared" si="18"/>
        <v>2808</v>
      </c>
      <c r="F94" s="211">
        <f t="shared" si="18"/>
        <v>3900</v>
      </c>
      <c r="G94" s="211">
        <f t="shared" si="18"/>
        <v>9360</v>
      </c>
      <c r="H94" s="211">
        <f t="shared" si="18"/>
        <v>13260</v>
      </c>
      <c r="I94" s="211">
        <f>ROUND(D94*Assumptions!D56,0)</f>
        <v>491</v>
      </c>
      <c r="J94" s="211">
        <f>ROUND(E94*Assumptions!E56,0)</f>
        <v>2527</v>
      </c>
      <c r="K94" s="211">
        <f>ROUND(F94*Assumptions!F56,0)</f>
        <v>3510</v>
      </c>
      <c r="L94" s="211">
        <f>ROUND(G94*Assumptions!G56,0)</f>
        <v>8424</v>
      </c>
      <c r="M94" s="211">
        <f>ROUND(H94*Assumptions!H56,0)</f>
        <v>11934</v>
      </c>
      <c r="N94" s="283">
        <f t="shared" si="17"/>
        <v>55</v>
      </c>
      <c r="O94" s="283">
        <f t="shared" si="11"/>
        <v>281</v>
      </c>
      <c r="P94" s="283">
        <f t="shared" si="12"/>
        <v>390</v>
      </c>
      <c r="Q94" s="283">
        <f t="shared" si="13"/>
        <v>936</v>
      </c>
      <c r="R94" s="283">
        <f t="shared" si="14"/>
        <v>1326</v>
      </c>
    </row>
    <row r="95" spans="2:18" ht="13.5" thickBot="1">
      <c r="B95" s="462" t="s">
        <v>527</v>
      </c>
      <c r="C95" s="466">
        <f t="shared" si="15"/>
        <v>0.1</v>
      </c>
      <c r="D95" s="211">
        <f t="shared" si="19"/>
        <v>55</v>
      </c>
      <c r="E95" s="211">
        <f t="shared" si="18"/>
        <v>281</v>
      </c>
      <c r="F95" s="211">
        <f t="shared" si="18"/>
        <v>390</v>
      </c>
      <c r="G95" s="211">
        <f t="shared" si="18"/>
        <v>936</v>
      </c>
      <c r="H95" s="211">
        <f t="shared" si="18"/>
        <v>1326</v>
      </c>
      <c r="I95" s="211">
        <f>ROUND(D95*Assumptions!D57,0)</f>
        <v>6</v>
      </c>
      <c r="J95" s="211">
        <f>ROUND(E95*Assumptions!E57,0)</f>
        <v>28</v>
      </c>
      <c r="K95" s="211">
        <f>ROUND(F95*Assumptions!F57,0)</f>
        <v>39</v>
      </c>
      <c r="L95" s="211">
        <f>ROUND(G95*Assumptions!G57,0)</f>
        <v>94</v>
      </c>
      <c r="M95" s="211">
        <f>ROUND(H95*Assumptions!H57,0)</f>
        <v>133</v>
      </c>
      <c r="N95" s="283">
        <f t="shared" si="17"/>
        <v>49</v>
      </c>
      <c r="O95" s="283">
        <f t="shared" si="11"/>
        <v>253</v>
      </c>
      <c r="P95" s="283">
        <f t="shared" si="12"/>
        <v>351</v>
      </c>
      <c r="Q95" s="283">
        <f t="shared" si="13"/>
        <v>842</v>
      </c>
      <c r="R95" s="283">
        <f t="shared" si="14"/>
        <v>1193</v>
      </c>
    </row>
    <row r="96" spans="2:18" ht="13.5" thickBot="1">
      <c r="B96" s="385" t="s">
        <v>250</v>
      </c>
      <c r="C96" s="466"/>
      <c r="E96" s="383"/>
      <c r="I96" s="211"/>
      <c r="J96" s="211"/>
      <c r="K96" s="211"/>
      <c r="L96" s="211"/>
      <c r="M96" s="211"/>
      <c r="N96" s="283">
        <f t="shared" si="17"/>
        <v>0</v>
      </c>
      <c r="O96" s="283">
        <f t="shared" si="11"/>
        <v>0</v>
      </c>
      <c r="P96" s="283">
        <f t="shared" si="12"/>
        <v>0</v>
      </c>
      <c r="Q96" s="283">
        <f t="shared" si="13"/>
        <v>0</v>
      </c>
      <c r="R96" s="283">
        <f t="shared" si="14"/>
        <v>0</v>
      </c>
    </row>
    <row r="97" spans="2:18" ht="13.5" thickBot="1">
      <c r="B97" s="294" t="s">
        <v>251</v>
      </c>
      <c r="C97" s="466">
        <f t="shared" si="15"/>
        <v>1</v>
      </c>
      <c r="D97" s="211">
        <f t="shared" ref="D97:H105" si="20">ROUND($C97*D$66,0)</f>
        <v>546</v>
      </c>
      <c r="E97" s="211">
        <f t="shared" si="20"/>
        <v>2808</v>
      </c>
      <c r="F97" s="211">
        <f t="shared" si="20"/>
        <v>3900</v>
      </c>
      <c r="G97" s="211">
        <f t="shared" si="20"/>
        <v>9360</v>
      </c>
      <c r="H97" s="211">
        <f t="shared" si="20"/>
        <v>13260</v>
      </c>
      <c r="I97" s="211">
        <f>ROUND(D97*Assumptions!D59,0)</f>
        <v>109</v>
      </c>
      <c r="J97" s="211">
        <f>ROUND(E97*Assumptions!E59,0)</f>
        <v>562</v>
      </c>
      <c r="K97" s="211">
        <f>ROUND(F97*Assumptions!F59,0)</f>
        <v>780</v>
      </c>
      <c r="L97" s="211">
        <f>ROUND(G97*Assumptions!G59,0)</f>
        <v>1872</v>
      </c>
      <c r="M97" s="211">
        <f>ROUND(H97*Assumptions!H59,0)</f>
        <v>2652</v>
      </c>
      <c r="N97" s="283">
        <f t="shared" si="17"/>
        <v>437</v>
      </c>
      <c r="O97" s="283">
        <f t="shared" si="11"/>
        <v>2246</v>
      </c>
      <c r="P97" s="283">
        <f t="shared" si="12"/>
        <v>3120</v>
      </c>
      <c r="Q97" s="283">
        <f t="shared" si="13"/>
        <v>7488</v>
      </c>
      <c r="R97" s="283">
        <f t="shared" si="14"/>
        <v>10608</v>
      </c>
    </row>
    <row r="98" spans="2:18" ht="13.5" thickBot="1">
      <c r="B98" s="295" t="s">
        <v>252</v>
      </c>
      <c r="C98" s="466">
        <f t="shared" si="15"/>
        <v>1</v>
      </c>
      <c r="D98" s="211">
        <f t="shared" si="20"/>
        <v>546</v>
      </c>
      <c r="E98" s="211">
        <f t="shared" si="20"/>
        <v>2808</v>
      </c>
      <c r="F98" s="211">
        <f t="shared" si="20"/>
        <v>3900</v>
      </c>
      <c r="G98" s="211">
        <f t="shared" si="20"/>
        <v>9360</v>
      </c>
      <c r="H98" s="211">
        <f t="shared" si="20"/>
        <v>13260</v>
      </c>
      <c r="I98" s="211">
        <f>ROUND(D98*Assumptions!D60,0)</f>
        <v>109</v>
      </c>
      <c r="J98" s="211">
        <f>ROUND(E98*Assumptions!E60,0)</f>
        <v>562</v>
      </c>
      <c r="K98" s="211">
        <f>ROUND(F98*Assumptions!F60,0)</f>
        <v>780</v>
      </c>
      <c r="L98" s="211">
        <f>ROUND(G98*Assumptions!G60,0)</f>
        <v>1872</v>
      </c>
      <c r="M98" s="211">
        <f>ROUND(H98*Assumptions!H60,0)</f>
        <v>2652</v>
      </c>
      <c r="N98" s="283">
        <f t="shared" si="17"/>
        <v>437</v>
      </c>
      <c r="O98" s="283">
        <f t="shared" si="11"/>
        <v>2246</v>
      </c>
      <c r="P98" s="283">
        <f t="shared" si="12"/>
        <v>3120</v>
      </c>
      <c r="Q98" s="283">
        <f t="shared" si="13"/>
        <v>7488</v>
      </c>
      <c r="R98" s="283">
        <f t="shared" si="14"/>
        <v>10608</v>
      </c>
    </row>
    <row r="99" spans="2:18" ht="13.5" thickBot="1">
      <c r="B99" s="295" t="s">
        <v>253</v>
      </c>
      <c r="C99" s="466">
        <f t="shared" si="15"/>
        <v>1</v>
      </c>
      <c r="D99" s="211">
        <f t="shared" si="20"/>
        <v>546</v>
      </c>
      <c r="E99" s="211">
        <f t="shared" si="20"/>
        <v>2808</v>
      </c>
      <c r="F99" s="211">
        <f t="shared" si="20"/>
        <v>3900</v>
      </c>
      <c r="G99" s="211">
        <f t="shared" si="20"/>
        <v>9360</v>
      </c>
      <c r="H99" s="211">
        <f t="shared" si="20"/>
        <v>13260</v>
      </c>
      <c r="I99" s="211">
        <f>ROUND(D99*Assumptions!D61,0)</f>
        <v>109</v>
      </c>
      <c r="J99" s="211">
        <f>ROUND(E99*Assumptions!E61,0)</f>
        <v>562</v>
      </c>
      <c r="K99" s="211">
        <f>ROUND(F99*Assumptions!F61,0)</f>
        <v>780</v>
      </c>
      <c r="L99" s="211">
        <f>ROUND(G99*Assumptions!G61,0)</f>
        <v>1872</v>
      </c>
      <c r="M99" s="211">
        <f>ROUND(H99*Assumptions!H61,0)</f>
        <v>2652</v>
      </c>
      <c r="N99" s="283">
        <f t="shared" si="17"/>
        <v>437</v>
      </c>
      <c r="O99" s="283">
        <f t="shared" si="11"/>
        <v>2246</v>
      </c>
      <c r="P99" s="283">
        <f t="shared" si="12"/>
        <v>3120</v>
      </c>
      <c r="Q99" s="283">
        <f t="shared" si="13"/>
        <v>7488</v>
      </c>
      <c r="R99" s="283">
        <f t="shared" si="14"/>
        <v>10608</v>
      </c>
    </row>
    <row r="100" spans="2:18" ht="13.5" thickBot="1">
      <c r="B100" s="295" t="s">
        <v>326</v>
      </c>
      <c r="C100" s="466">
        <f t="shared" si="15"/>
        <v>0.8</v>
      </c>
      <c r="D100" s="211">
        <f t="shared" si="20"/>
        <v>437</v>
      </c>
      <c r="E100" s="211">
        <f t="shared" si="20"/>
        <v>2246</v>
      </c>
      <c r="F100" s="211">
        <f t="shared" si="20"/>
        <v>3120</v>
      </c>
      <c r="G100" s="211">
        <f t="shared" si="20"/>
        <v>7488</v>
      </c>
      <c r="H100" s="211">
        <f t="shared" si="20"/>
        <v>10608</v>
      </c>
      <c r="I100" s="211">
        <f>ROUND(D100*Assumptions!D62,0)</f>
        <v>393</v>
      </c>
      <c r="J100" s="211">
        <f>ROUND(E100*Assumptions!E62,0)</f>
        <v>2021</v>
      </c>
      <c r="K100" s="211">
        <f>ROUND(F100*Assumptions!F62,0)</f>
        <v>2808</v>
      </c>
      <c r="L100" s="211">
        <f>ROUND(G100*Assumptions!G62,0)</f>
        <v>6739</v>
      </c>
      <c r="M100" s="211">
        <f>ROUND(H100*Assumptions!H62,0)</f>
        <v>9547</v>
      </c>
      <c r="N100" s="283">
        <f t="shared" si="17"/>
        <v>44</v>
      </c>
      <c r="O100" s="283">
        <f t="shared" si="11"/>
        <v>225</v>
      </c>
      <c r="P100" s="283">
        <f t="shared" si="12"/>
        <v>312</v>
      </c>
      <c r="Q100" s="283">
        <f t="shared" si="13"/>
        <v>749</v>
      </c>
      <c r="R100" s="283">
        <f t="shared" si="14"/>
        <v>1061</v>
      </c>
    </row>
    <row r="101" spans="2:18" ht="13.5" thickBot="1">
      <c r="B101" s="296" t="s">
        <v>254</v>
      </c>
      <c r="C101" s="466">
        <f t="shared" si="15"/>
        <v>1</v>
      </c>
      <c r="D101" s="211">
        <f t="shared" si="20"/>
        <v>546</v>
      </c>
      <c r="E101" s="211">
        <f t="shared" si="20"/>
        <v>2808</v>
      </c>
      <c r="F101" s="211">
        <f t="shared" si="20"/>
        <v>3900</v>
      </c>
      <c r="G101" s="211">
        <f t="shared" si="20"/>
        <v>9360</v>
      </c>
      <c r="H101" s="211">
        <f t="shared" si="20"/>
        <v>13260</v>
      </c>
      <c r="I101" s="211">
        <f>ROUND(D101*Assumptions!D63,0)</f>
        <v>109</v>
      </c>
      <c r="J101" s="211">
        <f>ROUND(E101*Assumptions!E63,0)</f>
        <v>562</v>
      </c>
      <c r="K101" s="211">
        <f>ROUND(F101*Assumptions!F63,0)</f>
        <v>780</v>
      </c>
      <c r="L101" s="211">
        <f>ROUND(G101*Assumptions!G63,0)</f>
        <v>1872</v>
      </c>
      <c r="M101" s="211">
        <f>ROUND(H101*Assumptions!H63,0)</f>
        <v>2652</v>
      </c>
      <c r="N101" s="283">
        <f t="shared" si="17"/>
        <v>437</v>
      </c>
      <c r="O101" s="283">
        <f t="shared" si="11"/>
        <v>2246</v>
      </c>
      <c r="P101" s="283">
        <f t="shared" si="12"/>
        <v>3120</v>
      </c>
      <c r="Q101" s="283">
        <f t="shared" si="13"/>
        <v>7488</v>
      </c>
      <c r="R101" s="283">
        <f t="shared" si="14"/>
        <v>10608</v>
      </c>
    </row>
    <row r="102" spans="2:18" ht="13.5" thickBot="1">
      <c r="B102" s="296" t="s">
        <v>255</v>
      </c>
      <c r="C102" s="466">
        <f t="shared" si="15"/>
        <v>0.8</v>
      </c>
      <c r="D102" s="211">
        <f t="shared" si="20"/>
        <v>437</v>
      </c>
      <c r="E102" s="211">
        <f t="shared" si="20"/>
        <v>2246</v>
      </c>
      <c r="F102" s="211">
        <f t="shared" si="20"/>
        <v>3120</v>
      </c>
      <c r="G102" s="211">
        <f t="shared" si="20"/>
        <v>7488</v>
      </c>
      <c r="H102" s="211">
        <f t="shared" si="20"/>
        <v>10608</v>
      </c>
      <c r="I102" s="211">
        <f>ROUND(D102*Assumptions!D64,0)</f>
        <v>393</v>
      </c>
      <c r="J102" s="211">
        <f>ROUND(E102*Assumptions!E64,0)</f>
        <v>2021</v>
      </c>
      <c r="K102" s="211">
        <f>ROUND(F102*Assumptions!F64,0)</f>
        <v>2808</v>
      </c>
      <c r="L102" s="211">
        <f>ROUND(G102*Assumptions!G64,0)</f>
        <v>6739</v>
      </c>
      <c r="M102" s="211">
        <f>ROUND(H102*Assumptions!H64,0)</f>
        <v>9547</v>
      </c>
      <c r="N102" s="283">
        <f t="shared" si="17"/>
        <v>44</v>
      </c>
      <c r="O102" s="283">
        <f t="shared" si="11"/>
        <v>225</v>
      </c>
      <c r="P102" s="283">
        <f t="shared" si="12"/>
        <v>312</v>
      </c>
      <c r="Q102" s="283">
        <f t="shared" si="13"/>
        <v>749</v>
      </c>
      <c r="R102" s="283">
        <f t="shared" si="14"/>
        <v>1061</v>
      </c>
    </row>
    <row r="103" spans="2:18" ht="13.5" thickBot="1">
      <c r="B103" s="296" t="s">
        <v>256</v>
      </c>
      <c r="C103" s="466">
        <f t="shared" si="15"/>
        <v>0.9</v>
      </c>
      <c r="D103" s="211">
        <f t="shared" si="20"/>
        <v>491</v>
      </c>
      <c r="E103" s="211">
        <f t="shared" si="20"/>
        <v>2527</v>
      </c>
      <c r="F103" s="211">
        <f t="shared" si="20"/>
        <v>3510</v>
      </c>
      <c r="G103" s="211">
        <f t="shared" si="20"/>
        <v>8424</v>
      </c>
      <c r="H103" s="211">
        <f t="shared" si="20"/>
        <v>11934</v>
      </c>
      <c r="I103" s="211">
        <f>ROUND(D103*Assumptions!D65,0)</f>
        <v>393</v>
      </c>
      <c r="J103" s="211">
        <f>ROUND(E103*Assumptions!E65,0)</f>
        <v>2022</v>
      </c>
      <c r="K103" s="211">
        <f>ROUND(F103*Assumptions!F65,0)</f>
        <v>2808</v>
      </c>
      <c r="L103" s="211">
        <f>ROUND(G103*Assumptions!G65,0)</f>
        <v>6739</v>
      </c>
      <c r="M103" s="211">
        <f>ROUND(H103*Assumptions!H65,0)</f>
        <v>9547</v>
      </c>
      <c r="N103" s="283">
        <f t="shared" si="17"/>
        <v>98</v>
      </c>
      <c r="O103" s="283">
        <f t="shared" si="11"/>
        <v>505</v>
      </c>
      <c r="P103" s="283">
        <f t="shared" si="12"/>
        <v>702</v>
      </c>
      <c r="Q103" s="283">
        <f t="shared" si="13"/>
        <v>1685</v>
      </c>
      <c r="R103" s="283">
        <f t="shared" si="14"/>
        <v>2387</v>
      </c>
    </row>
    <row r="104" spans="2:18" ht="13.5" thickBot="1">
      <c r="B104" s="295" t="s">
        <v>444</v>
      </c>
      <c r="C104" s="466">
        <f t="shared" si="15"/>
        <v>0.5</v>
      </c>
      <c r="D104" s="211">
        <f t="shared" si="20"/>
        <v>273</v>
      </c>
      <c r="E104" s="211">
        <f t="shared" si="20"/>
        <v>1404</v>
      </c>
      <c r="F104" s="211">
        <f t="shared" si="20"/>
        <v>1950</v>
      </c>
      <c r="G104" s="211">
        <f t="shared" si="20"/>
        <v>4680</v>
      </c>
      <c r="H104" s="211">
        <f t="shared" si="20"/>
        <v>6630</v>
      </c>
      <c r="I104" s="211">
        <f>ROUND(D104*Assumptions!D66,0)</f>
        <v>246</v>
      </c>
      <c r="J104" s="211">
        <f>ROUND(E104*Assumptions!E66,0)</f>
        <v>1264</v>
      </c>
      <c r="K104" s="211">
        <f>ROUND(F104*Assumptions!F66,0)</f>
        <v>1755</v>
      </c>
      <c r="L104" s="211">
        <f>ROUND(G104*Assumptions!G66,0)</f>
        <v>4212</v>
      </c>
      <c r="M104" s="211">
        <f>ROUND(H104*Assumptions!H66,0)</f>
        <v>5967</v>
      </c>
      <c r="N104" s="283">
        <f t="shared" si="17"/>
        <v>27</v>
      </c>
      <c r="O104" s="283">
        <f t="shared" si="11"/>
        <v>140</v>
      </c>
      <c r="P104" s="283">
        <f t="shared" si="12"/>
        <v>195</v>
      </c>
      <c r="Q104" s="283">
        <f t="shared" si="13"/>
        <v>468</v>
      </c>
      <c r="R104" s="283">
        <f t="shared" si="14"/>
        <v>663</v>
      </c>
    </row>
    <row r="105" spans="2:18" ht="13.5" thickBot="1">
      <c r="B105" s="297" t="s">
        <v>257</v>
      </c>
      <c r="C105" s="466">
        <f t="shared" si="15"/>
        <v>0.1</v>
      </c>
      <c r="D105" s="211">
        <f t="shared" si="20"/>
        <v>55</v>
      </c>
      <c r="E105" s="211">
        <f t="shared" si="20"/>
        <v>281</v>
      </c>
      <c r="F105" s="211">
        <f t="shared" si="20"/>
        <v>390</v>
      </c>
      <c r="G105" s="211">
        <f t="shared" si="20"/>
        <v>936</v>
      </c>
      <c r="H105" s="211">
        <f t="shared" si="20"/>
        <v>1326</v>
      </c>
      <c r="I105" s="211">
        <f>ROUND(D105*Assumptions!D67,0)</f>
        <v>6</v>
      </c>
      <c r="J105" s="211">
        <f>ROUND(E105*Assumptions!E67,0)</f>
        <v>28</v>
      </c>
      <c r="K105" s="211">
        <f>ROUND(F105*Assumptions!F67,0)</f>
        <v>39</v>
      </c>
      <c r="L105" s="211">
        <f>ROUND(G105*Assumptions!G67,0)</f>
        <v>94</v>
      </c>
      <c r="M105" s="211">
        <f>ROUND(H105*Assumptions!H67,0)</f>
        <v>133</v>
      </c>
      <c r="N105" s="283">
        <f t="shared" si="17"/>
        <v>49</v>
      </c>
      <c r="O105" s="283">
        <f t="shared" si="11"/>
        <v>253</v>
      </c>
      <c r="P105" s="283">
        <f t="shared" si="12"/>
        <v>351</v>
      </c>
      <c r="Q105" s="283">
        <f t="shared" si="13"/>
        <v>842</v>
      </c>
      <c r="R105" s="283">
        <f t="shared" si="14"/>
        <v>1193</v>
      </c>
    </row>
    <row r="106" spans="2:18" ht="13.5" thickBot="1">
      <c r="B106" s="385" t="s">
        <v>323</v>
      </c>
      <c r="C106" s="466"/>
      <c r="E106" s="383"/>
      <c r="I106" s="211"/>
      <c r="J106" s="211"/>
      <c r="K106" s="211"/>
      <c r="L106" s="211"/>
      <c r="M106" s="211"/>
      <c r="N106" s="283">
        <f t="shared" si="17"/>
        <v>0</v>
      </c>
      <c r="O106" s="283">
        <f t="shared" si="11"/>
        <v>0</v>
      </c>
      <c r="P106" s="283">
        <f t="shared" si="12"/>
        <v>0</v>
      </c>
      <c r="Q106" s="283">
        <f t="shared" si="13"/>
        <v>0</v>
      </c>
      <c r="R106" s="283">
        <f t="shared" si="14"/>
        <v>0</v>
      </c>
    </row>
    <row r="107" spans="2:18" ht="13.5" thickBot="1">
      <c r="B107" s="304" t="s">
        <v>528</v>
      </c>
      <c r="C107" s="466">
        <f t="shared" si="15"/>
        <v>0.2</v>
      </c>
      <c r="D107" s="211">
        <f t="shared" ref="D107:H119" si="21">ROUND($C107*D$66,0)</f>
        <v>109</v>
      </c>
      <c r="E107" s="211">
        <f t="shared" si="21"/>
        <v>562</v>
      </c>
      <c r="F107" s="211">
        <f t="shared" si="21"/>
        <v>780</v>
      </c>
      <c r="G107" s="211">
        <f t="shared" si="21"/>
        <v>1872</v>
      </c>
      <c r="H107" s="211">
        <f t="shared" si="21"/>
        <v>2652</v>
      </c>
      <c r="I107" s="211">
        <f>ROUND(D107*Assumptions!D69,0)</f>
        <v>11</v>
      </c>
      <c r="J107" s="211">
        <f>ROUND(E107*Assumptions!E69,0)</f>
        <v>56</v>
      </c>
      <c r="K107" s="211">
        <f>ROUND(F107*Assumptions!F69,0)</f>
        <v>78</v>
      </c>
      <c r="L107" s="211">
        <f>ROUND(G107*Assumptions!G69,0)</f>
        <v>187</v>
      </c>
      <c r="M107" s="211">
        <f>ROUND(H107*Assumptions!H69,0)</f>
        <v>265</v>
      </c>
      <c r="N107" s="283">
        <f t="shared" si="17"/>
        <v>98</v>
      </c>
      <c r="O107" s="283">
        <f t="shared" si="11"/>
        <v>506</v>
      </c>
      <c r="P107" s="283">
        <f t="shared" si="12"/>
        <v>702</v>
      </c>
      <c r="Q107" s="283">
        <f t="shared" si="13"/>
        <v>1685</v>
      </c>
      <c r="R107" s="283">
        <f t="shared" si="14"/>
        <v>2387</v>
      </c>
    </row>
    <row r="108" spans="2:18" ht="13.5" thickBot="1">
      <c r="B108" s="279" t="s">
        <v>239</v>
      </c>
      <c r="C108" s="466">
        <f t="shared" si="15"/>
        <v>0.2</v>
      </c>
      <c r="D108" s="211">
        <f t="shared" si="21"/>
        <v>109</v>
      </c>
      <c r="E108" s="211">
        <f t="shared" si="21"/>
        <v>562</v>
      </c>
      <c r="F108" s="211">
        <f t="shared" si="21"/>
        <v>780</v>
      </c>
      <c r="G108" s="211">
        <f t="shared" si="21"/>
        <v>1872</v>
      </c>
      <c r="H108" s="211">
        <f t="shared" si="21"/>
        <v>2652</v>
      </c>
      <c r="I108" s="211">
        <f>ROUND(D108*Assumptions!D70,0)</f>
        <v>11</v>
      </c>
      <c r="J108" s="211">
        <f>ROUND(E108*Assumptions!E70,0)</f>
        <v>56</v>
      </c>
      <c r="K108" s="211">
        <f>ROUND(F108*Assumptions!F70,0)</f>
        <v>78</v>
      </c>
      <c r="L108" s="211">
        <f>ROUND(G108*Assumptions!G70,0)</f>
        <v>187</v>
      </c>
      <c r="M108" s="211">
        <f>ROUND(H108*Assumptions!H70,0)</f>
        <v>265</v>
      </c>
      <c r="N108" s="283">
        <f t="shared" si="17"/>
        <v>98</v>
      </c>
      <c r="O108" s="283">
        <f t="shared" si="11"/>
        <v>506</v>
      </c>
      <c r="P108" s="283">
        <f t="shared" si="12"/>
        <v>702</v>
      </c>
      <c r="Q108" s="283">
        <f t="shared" si="13"/>
        <v>1685</v>
      </c>
      <c r="R108" s="283">
        <f t="shared" si="14"/>
        <v>2387</v>
      </c>
    </row>
    <row r="109" spans="2:18" ht="13.5" thickBot="1">
      <c r="B109" s="279" t="s">
        <v>242</v>
      </c>
      <c r="C109" s="466">
        <f t="shared" si="15"/>
        <v>0.2</v>
      </c>
      <c r="D109" s="211">
        <f t="shared" si="21"/>
        <v>109</v>
      </c>
      <c r="E109" s="211">
        <f t="shared" si="21"/>
        <v>562</v>
      </c>
      <c r="F109" s="211">
        <f t="shared" si="21"/>
        <v>780</v>
      </c>
      <c r="G109" s="211">
        <f t="shared" si="21"/>
        <v>1872</v>
      </c>
      <c r="H109" s="211">
        <f t="shared" si="21"/>
        <v>2652</v>
      </c>
      <c r="I109" s="211">
        <f>ROUND(D109*Assumptions!D71,0)</f>
        <v>11</v>
      </c>
      <c r="J109" s="211">
        <f>ROUND(E109*Assumptions!E71,0)</f>
        <v>56</v>
      </c>
      <c r="K109" s="211">
        <f>ROUND(F109*Assumptions!F71,0)</f>
        <v>78</v>
      </c>
      <c r="L109" s="211">
        <f>ROUND(G109*Assumptions!G71,0)</f>
        <v>187</v>
      </c>
      <c r="M109" s="211">
        <f>ROUND(H109*Assumptions!H71,0)</f>
        <v>265</v>
      </c>
      <c r="N109" s="283">
        <f t="shared" si="17"/>
        <v>98</v>
      </c>
      <c r="O109" s="283">
        <f t="shared" si="11"/>
        <v>506</v>
      </c>
      <c r="P109" s="283">
        <f t="shared" si="12"/>
        <v>702</v>
      </c>
      <c r="Q109" s="283">
        <f t="shared" si="13"/>
        <v>1685</v>
      </c>
      <c r="R109" s="283">
        <f t="shared" si="14"/>
        <v>2387</v>
      </c>
    </row>
    <row r="110" spans="2:18" ht="13.5" thickBot="1">
      <c r="B110" s="279" t="s">
        <v>299</v>
      </c>
      <c r="C110" s="466">
        <f t="shared" si="15"/>
        <v>0.4</v>
      </c>
      <c r="D110" s="211">
        <f t="shared" si="21"/>
        <v>218</v>
      </c>
      <c r="E110" s="211">
        <f t="shared" si="21"/>
        <v>1123</v>
      </c>
      <c r="F110" s="211">
        <f t="shared" si="21"/>
        <v>1560</v>
      </c>
      <c r="G110" s="211">
        <f t="shared" si="21"/>
        <v>3744</v>
      </c>
      <c r="H110" s="211">
        <f t="shared" si="21"/>
        <v>5304</v>
      </c>
      <c r="I110" s="211">
        <f>ROUND(D110*Assumptions!D72,0)</f>
        <v>22</v>
      </c>
      <c r="J110" s="211">
        <f>ROUND(E110*Assumptions!E72,0)</f>
        <v>112</v>
      </c>
      <c r="K110" s="211">
        <f>ROUND(F110*Assumptions!F72,0)</f>
        <v>156</v>
      </c>
      <c r="L110" s="211">
        <f>ROUND(G110*Assumptions!G72,0)</f>
        <v>374</v>
      </c>
      <c r="M110" s="211">
        <f>ROUND(H110*Assumptions!H72,0)</f>
        <v>530</v>
      </c>
      <c r="N110" s="283">
        <f t="shared" si="17"/>
        <v>196</v>
      </c>
      <c r="O110" s="283">
        <f t="shared" si="11"/>
        <v>1011</v>
      </c>
      <c r="P110" s="283">
        <f t="shared" si="12"/>
        <v>1404</v>
      </c>
      <c r="Q110" s="283">
        <f t="shared" si="13"/>
        <v>3370</v>
      </c>
      <c r="R110" s="283">
        <f t="shared" si="14"/>
        <v>4774</v>
      </c>
    </row>
    <row r="111" spans="2:18" ht="13.5" thickBot="1">
      <c r="B111" s="279" t="s">
        <v>446</v>
      </c>
      <c r="C111" s="466">
        <f t="shared" si="15"/>
        <v>0.4</v>
      </c>
      <c r="D111" s="211">
        <f t="shared" si="21"/>
        <v>218</v>
      </c>
      <c r="E111" s="211">
        <f t="shared" si="21"/>
        <v>1123</v>
      </c>
      <c r="F111" s="211">
        <f t="shared" si="21"/>
        <v>1560</v>
      </c>
      <c r="G111" s="211">
        <f t="shared" si="21"/>
        <v>3744</v>
      </c>
      <c r="H111" s="211">
        <f t="shared" si="21"/>
        <v>5304</v>
      </c>
      <c r="I111" s="211">
        <f>ROUND(D111*Assumptions!D73,0)</f>
        <v>22</v>
      </c>
      <c r="J111" s="211">
        <f>ROUND(E111*Assumptions!E73,0)</f>
        <v>112</v>
      </c>
      <c r="K111" s="211">
        <f>ROUND(F111*Assumptions!F73,0)</f>
        <v>156</v>
      </c>
      <c r="L111" s="211">
        <f>ROUND(G111*Assumptions!G73,0)</f>
        <v>374</v>
      </c>
      <c r="M111" s="211">
        <f>ROUND(H111*Assumptions!H73,0)</f>
        <v>530</v>
      </c>
      <c r="N111" s="283">
        <f t="shared" si="17"/>
        <v>196</v>
      </c>
      <c r="O111" s="283">
        <f t="shared" si="11"/>
        <v>1011</v>
      </c>
      <c r="P111" s="283">
        <f t="shared" si="12"/>
        <v>1404</v>
      </c>
      <c r="Q111" s="283">
        <f t="shared" si="13"/>
        <v>3370</v>
      </c>
      <c r="R111" s="283">
        <f t="shared" si="14"/>
        <v>4774</v>
      </c>
    </row>
    <row r="112" spans="2:18" ht="13.5" thickBot="1">
      <c r="B112" s="279" t="s">
        <v>302</v>
      </c>
      <c r="C112" s="466">
        <f t="shared" si="15"/>
        <v>0.2</v>
      </c>
      <c r="D112" s="211">
        <f t="shared" si="21"/>
        <v>109</v>
      </c>
      <c r="E112" s="211">
        <f t="shared" si="21"/>
        <v>562</v>
      </c>
      <c r="F112" s="211">
        <f t="shared" si="21"/>
        <v>780</v>
      </c>
      <c r="G112" s="211">
        <f t="shared" si="21"/>
        <v>1872</v>
      </c>
      <c r="H112" s="211">
        <f t="shared" si="21"/>
        <v>2652</v>
      </c>
      <c r="I112" s="211">
        <f>ROUND(D112*Assumptions!D74,0)</f>
        <v>11</v>
      </c>
      <c r="J112" s="211">
        <f>ROUND(E112*Assumptions!E74,0)</f>
        <v>56</v>
      </c>
      <c r="K112" s="211">
        <f>ROUND(F112*Assumptions!F74,0)</f>
        <v>78</v>
      </c>
      <c r="L112" s="211">
        <f>ROUND(G112*Assumptions!G74,0)</f>
        <v>187</v>
      </c>
      <c r="M112" s="211">
        <f>ROUND(H112*Assumptions!H74,0)</f>
        <v>265</v>
      </c>
      <c r="N112" s="283">
        <f t="shared" si="17"/>
        <v>98</v>
      </c>
      <c r="O112" s="283">
        <f t="shared" si="11"/>
        <v>506</v>
      </c>
      <c r="P112" s="283">
        <f t="shared" si="12"/>
        <v>702</v>
      </c>
      <c r="Q112" s="283">
        <f t="shared" si="13"/>
        <v>1685</v>
      </c>
      <c r="R112" s="283">
        <f t="shared" si="14"/>
        <v>2387</v>
      </c>
    </row>
    <row r="113" spans="1:18" ht="13.5" thickBot="1">
      <c r="B113" s="279" t="s">
        <v>303</v>
      </c>
      <c r="C113" s="466">
        <f t="shared" si="15"/>
        <v>0.2</v>
      </c>
      <c r="D113" s="211">
        <f t="shared" si="21"/>
        <v>109</v>
      </c>
      <c r="E113" s="211">
        <f t="shared" si="21"/>
        <v>562</v>
      </c>
      <c r="F113" s="211">
        <f t="shared" si="21"/>
        <v>780</v>
      </c>
      <c r="G113" s="211">
        <f t="shared" si="21"/>
        <v>1872</v>
      </c>
      <c r="H113" s="211">
        <f t="shared" si="21"/>
        <v>2652</v>
      </c>
      <c r="I113" s="211">
        <f>ROUND(D113*Assumptions!D75,0)</f>
        <v>11</v>
      </c>
      <c r="J113" s="211">
        <f>ROUND(E113*Assumptions!E75,0)</f>
        <v>56</v>
      </c>
      <c r="K113" s="211">
        <f>ROUND(F113*Assumptions!F75,0)</f>
        <v>78</v>
      </c>
      <c r="L113" s="211">
        <f>ROUND(G113*Assumptions!G75,0)</f>
        <v>187</v>
      </c>
      <c r="M113" s="211">
        <f>ROUND(H113*Assumptions!H75,0)</f>
        <v>265</v>
      </c>
      <c r="N113" s="283">
        <f t="shared" si="17"/>
        <v>98</v>
      </c>
      <c r="O113" s="283">
        <f t="shared" si="11"/>
        <v>506</v>
      </c>
      <c r="P113" s="283">
        <f t="shared" si="12"/>
        <v>702</v>
      </c>
      <c r="Q113" s="283">
        <f t="shared" si="13"/>
        <v>1685</v>
      </c>
      <c r="R113" s="283">
        <f t="shared" si="14"/>
        <v>2387</v>
      </c>
    </row>
    <row r="114" spans="1:18" ht="13.5" thickBot="1">
      <c r="B114" s="279" t="s">
        <v>304</v>
      </c>
      <c r="C114" s="466">
        <f t="shared" si="15"/>
        <v>0.2</v>
      </c>
      <c r="D114" s="211">
        <f t="shared" si="21"/>
        <v>109</v>
      </c>
      <c r="E114" s="211">
        <f t="shared" si="21"/>
        <v>562</v>
      </c>
      <c r="F114" s="211">
        <f t="shared" si="21"/>
        <v>780</v>
      </c>
      <c r="G114" s="211">
        <f t="shared" si="21"/>
        <v>1872</v>
      </c>
      <c r="H114" s="211">
        <f t="shared" si="21"/>
        <v>2652</v>
      </c>
      <c r="I114" s="211">
        <f>ROUND(D114*Assumptions!D76,0)</f>
        <v>11</v>
      </c>
      <c r="J114" s="211">
        <f>ROUND(E114*Assumptions!E76,0)</f>
        <v>56</v>
      </c>
      <c r="K114" s="211">
        <f>ROUND(F114*Assumptions!F76,0)</f>
        <v>78</v>
      </c>
      <c r="L114" s="211">
        <f>ROUND(G114*Assumptions!G76,0)</f>
        <v>187</v>
      </c>
      <c r="M114" s="211">
        <f>ROUND(H114*Assumptions!H76,0)</f>
        <v>265</v>
      </c>
      <c r="N114" s="283">
        <f t="shared" si="17"/>
        <v>98</v>
      </c>
      <c r="O114" s="283">
        <f t="shared" si="11"/>
        <v>506</v>
      </c>
      <c r="P114" s="283">
        <f t="shared" si="12"/>
        <v>702</v>
      </c>
      <c r="Q114" s="283">
        <f t="shared" si="13"/>
        <v>1685</v>
      </c>
      <c r="R114" s="283">
        <f t="shared" si="14"/>
        <v>2387</v>
      </c>
    </row>
    <row r="115" spans="1:18" ht="13.5" thickBot="1">
      <c r="B115" s="279" t="s">
        <v>306</v>
      </c>
      <c r="C115" s="466">
        <f t="shared" si="15"/>
        <v>0.1</v>
      </c>
      <c r="D115" s="211">
        <f t="shared" si="21"/>
        <v>55</v>
      </c>
      <c r="E115" s="211">
        <f t="shared" si="21"/>
        <v>281</v>
      </c>
      <c r="F115" s="211">
        <f t="shared" si="21"/>
        <v>390</v>
      </c>
      <c r="G115" s="211">
        <f t="shared" si="21"/>
        <v>936</v>
      </c>
      <c r="H115" s="211">
        <f t="shared" si="21"/>
        <v>1326</v>
      </c>
      <c r="I115" s="211">
        <f>ROUND(D115*Assumptions!D77,0)</f>
        <v>6</v>
      </c>
      <c r="J115" s="211">
        <f>ROUND(E115*Assumptions!E77,0)</f>
        <v>28</v>
      </c>
      <c r="K115" s="211">
        <f>ROUND(F115*Assumptions!F77,0)</f>
        <v>39</v>
      </c>
      <c r="L115" s="211">
        <f>ROUND(G115*Assumptions!G77,0)</f>
        <v>94</v>
      </c>
      <c r="M115" s="211">
        <f>ROUND(H115*Assumptions!H77,0)</f>
        <v>133</v>
      </c>
      <c r="N115" s="283">
        <f t="shared" si="17"/>
        <v>49</v>
      </c>
      <c r="O115" s="283">
        <f t="shared" si="11"/>
        <v>253</v>
      </c>
      <c r="P115" s="283">
        <f t="shared" si="12"/>
        <v>351</v>
      </c>
      <c r="Q115" s="283">
        <f t="shared" si="13"/>
        <v>842</v>
      </c>
      <c r="R115" s="283">
        <f t="shared" si="14"/>
        <v>1193</v>
      </c>
    </row>
    <row r="116" spans="1:18" ht="13.5" thickBot="1">
      <c r="B116" s="305" t="s">
        <v>307</v>
      </c>
      <c r="C116" s="466">
        <f t="shared" si="15"/>
        <v>0.1</v>
      </c>
      <c r="D116" s="211">
        <f t="shared" si="21"/>
        <v>55</v>
      </c>
      <c r="E116" s="211">
        <f t="shared" si="21"/>
        <v>281</v>
      </c>
      <c r="F116" s="211">
        <f t="shared" si="21"/>
        <v>390</v>
      </c>
      <c r="G116" s="211">
        <f t="shared" si="21"/>
        <v>936</v>
      </c>
      <c r="H116" s="211">
        <f t="shared" si="21"/>
        <v>1326</v>
      </c>
      <c r="I116" s="211">
        <f>ROUND(D116*Assumptions!D78,0)</f>
        <v>6</v>
      </c>
      <c r="J116" s="211">
        <f>ROUND(E116*Assumptions!E78,0)</f>
        <v>28</v>
      </c>
      <c r="K116" s="211">
        <f>ROUND(F116*Assumptions!F78,0)</f>
        <v>39</v>
      </c>
      <c r="L116" s="211">
        <f>ROUND(G116*Assumptions!G78,0)</f>
        <v>94</v>
      </c>
      <c r="M116" s="211">
        <f>ROUND(H116*Assumptions!H78,0)</f>
        <v>133</v>
      </c>
      <c r="N116" s="283">
        <f t="shared" si="17"/>
        <v>49</v>
      </c>
      <c r="O116" s="283">
        <f t="shared" si="11"/>
        <v>253</v>
      </c>
      <c r="P116" s="283">
        <f t="shared" si="12"/>
        <v>351</v>
      </c>
      <c r="Q116" s="283">
        <f t="shared" si="13"/>
        <v>842</v>
      </c>
      <c r="R116" s="283">
        <f t="shared" si="14"/>
        <v>1193</v>
      </c>
    </row>
    <row r="117" spans="1:18" ht="13.5" thickBot="1">
      <c r="B117" s="303" t="s">
        <v>312</v>
      </c>
      <c r="C117" s="466">
        <f t="shared" si="15"/>
        <v>0.9</v>
      </c>
      <c r="D117" s="211">
        <f t="shared" si="21"/>
        <v>491</v>
      </c>
      <c r="E117" s="211">
        <f t="shared" si="21"/>
        <v>2527</v>
      </c>
      <c r="F117" s="211">
        <f t="shared" si="21"/>
        <v>3510</v>
      </c>
      <c r="G117" s="211">
        <f t="shared" si="21"/>
        <v>8424</v>
      </c>
      <c r="H117" s="211">
        <f t="shared" si="21"/>
        <v>11934</v>
      </c>
      <c r="I117" s="211">
        <f>ROUND(D117*Assumptions!D79,0)</f>
        <v>49</v>
      </c>
      <c r="J117" s="211">
        <f>ROUND(E117*Assumptions!E79,0)</f>
        <v>253</v>
      </c>
      <c r="K117" s="211">
        <f>ROUND(F117*Assumptions!F79,0)</f>
        <v>351</v>
      </c>
      <c r="L117" s="211">
        <f>ROUND(G117*Assumptions!G79,0)</f>
        <v>842</v>
      </c>
      <c r="M117" s="211">
        <f>ROUND(H117*Assumptions!H79,0)</f>
        <v>1193</v>
      </c>
      <c r="N117" s="283">
        <f t="shared" si="17"/>
        <v>442</v>
      </c>
      <c r="O117" s="283">
        <f t="shared" si="11"/>
        <v>2274</v>
      </c>
      <c r="P117" s="283">
        <f t="shared" si="12"/>
        <v>3159</v>
      </c>
      <c r="Q117" s="283">
        <f t="shared" si="13"/>
        <v>7582</v>
      </c>
      <c r="R117" s="283">
        <f t="shared" si="14"/>
        <v>10741</v>
      </c>
    </row>
    <row r="118" spans="1:18" ht="13.5" thickBot="1">
      <c r="B118" s="279" t="s">
        <v>313</v>
      </c>
      <c r="C118" s="466">
        <f t="shared" si="15"/>
        <v>0.2</v>
      </c>
      <c r="D118" s="211">
        <f t="shared" si="21"/>
        <v>109</v>
      </c>
      <c r="E118" s="211">
        <f t="shared" si="21"/>
        <v>562</v>
      </c>
      <c r="F118" s="211">
        <f t="shared" si="21"/>
        <v>780</v>
      </c>
      <c r="G118" s="211">
        <f t="shared" si="21"/>
        <v>1872</v>
      </c>
      <c r="H118" s="211">
        <f t="shared" si="21"/>
        <v>2652</v>
      </c>
      <c r="I118" s="211">
        <f>ROUND(D118*Assumptions!D80,0)</f>
        <v>11</v>
      </c>
      <c r="J118" s="211">
        <f>ROUND(E118*Assumptions!E80,0)</f>
        <v>56</v>
      </c>
      <c r="K118" s="211">
        <f>ROUND(F118*Assumptions!F80,0)</f>
        <v>78</v>
      </c>
      <c r="L118" s="211">
        <f>ROUND(G118*Assumptions!G80,0)</f>
        <v>187</v>
      </c>
      <c r="M118" s="211">
        <f>ROUND(H118*Assumptions!H80,0)</f>
        <v>265</v>
      </c>
      <c r="N118" s="283">
        <f t="shared" si="17"/>
        <v>98</v>
      </c>
      <c r="O118" s="283">
        <f t="shared" si="11"/>
        <v>506</v>
      </c>
      <c r="P118" s="283">
        <f t="shared" si="12"/>
        <v>702</v>
      </c>
      <c r="Q118" s="283">
        <f t="shared" si="13"/>
        <v>1685</v>
      </c>
      <c r="R118" s="283">
        <f t="shared" si="14"/>
        <v>2387</v>
      </c>
    </row>
    <row r="119" spans="1:18">
      <c r="B119" s="279" t="s">
        <v>311</v>
      </c>
      <c r="C119" s="466">
        <f t="shared" si="15"/>
        <v>0.4</v>
      </c>
      <c r="D119" s="211">
        <f t="shared" si="21"/>
        <v>218</v>
      </c>
      <c r="E119" s="211">
        <f t="shared" si="21"/>
        <v>1123</v>
      </c>
      <c r="F119" s="211">
        <f t="shared" si="21"/>
        <v>1560</v>
      </c>
      <c r="G119" s="211">
        <f t="shared" si="21"/>
        <v>3744</v>
      </c>
      <c r="H119" s="211">
        <f t="shared" si="21"/>
        <v>5304</v>
      </c>
      <c r="I119" s="211">
        <f>ROUND(D119*Assumptions!D81,0)</f>
        <v>22</v>
      </c>
      <c r="J119" s="211">
        <f>ROUND(E119*Assumptions!E81,0)</f>
        <v>112</v>
      </c>
      <c r="K119" s="211">
        <f>ROUND(F119*Assumptions!F81,0)</f>
        <v>156</v>
      </c>
      <c r="L119" s="211">
        <f>ROUND(G119*Assumptions!G81,0)</f>
        <v>374</v>
      </c>
      <c r="M119" s="211">
        <f>ROUND(H119*Assumptions!H81,0)</f>
        <v>530</v>
      </c>
      <c r="N119" s="283">
        <f t="shared" si="17"/>
        <v>196</v>
      </c>
      <c r="O119" s="283">
        <f t="shared" si="11"/>
        <v>1011</v>
      </c>
      <c r="P119" s="283">
        <f t="shared" si="12"/>
        <v>1404</v>
      </c>
      <c r="Q119" s="283">
        <f t="shared" si="13"/>
        <v>3370</v>
      </c>
      <c r="R119" s="283">
        <f t="shared" si="14"/>
        <v>4774</v>
      </c>
    </row>
    <row r="122" spans="1:18">
      <c r="B122" s="273" t="s">
        <v>449</v>
      </c>
      <c r="D122" s="386">
        <f>Assumptions!D27</f>
        <v>3956</v>
      </c>
      <c r="E122" s="386">
        <f>Assumptions!E27</f>
        <v>3956</v>
      </c>
      <c r="F122" s="386">
        <f>Assumptions!F27</f>
        <v>1978</v>
      </c>
      <c r="G122" s="386">
        <f>Assumptions!G27</f>
        <v>2967</v>
      </c>
      <c r="H122" s="386">
        <f>Assumptions!H27</f>
        <v>3956</v>
      </c>
    </row>
    <row r="123" spans="1:18">
      <c r="B123" s="273"/>
      <c r="D123" s="386"/>
      <c r="E123" s="386"/>
      <c r="F123" s="386"/>
      <c r="G123" s="386"/>
      <c r="H123" s="386"/>
    </row>
    <row r="124" spans="1:18" ht="13.5" thickBot="1">
      <c r="B124" s="411"/>
      <c r="D124" s="458" t="s">
        <v>349</v>
      </c>
      <c r="E124" s="458"/>
      <c r="F124" s="458"/>
      <c r="G124" s="458"/>
      <c r="H124" s="458"/>
      <c r="I124" s="458" t="s">
        <v>350</v>
      </c>
      <c r="J124" s="458"/>
      <c r="K124" s="458"/>
      <c r="L124" s="458"/>
      <c r="M124" s="458"/>
      <c r="N124" s="458" t="s">
        <v>353</v>
      </c>
      <c r="O124" s="458"/>
      <c r="P124" s="458"/>
      <c r="Q124" s="458"/>
      <c r="R124" s="458"/>
    </row>
    <row r="125" spans="1:18" ht="13.5" thickBot="1">
      <c r="B125" s="411"/>
      <c r="D125" s="357">
        <f>first_year</f>
        <v>2009</v>
      </c>
      <c r="E125" s="357">
        <f>D125+1</f>
        <v>2010</v>
      </c>
      <c r="F125" s="357">
        <f>E125+1</f>
        <v>2011</v>
      </c>
      <c r="G125" s="357">
        <f>F125+1</f>
        <v>2012</v>
      </c>
      <c r="H125" s="358">
        <f>G125+1</f>
        <v>2013</v>
      </c>
      <c r="I125" s="357">
        <f>first_year</f>
        <v>2009</v>
      </c>
      <c r="J125" s="357">
        <f>I125+1</f>
        <v>2010</v>
      </c>
      <c r="K125" s="357">
        <f>J125+1</f>
        <v>2011</v>
      </c>
      <c r="L125" s="357">
        <f>K125+1</f>
        <v>2012</v>
      </c>
      <c r="M125" s="358">
        <f>L125+1</f>
        <v>2013</v>
      </c>
      <c r="N125" s="357">
        <f>first_year</f>
        <v>2009</v>
      </c>
      <c r="O125" s="357">
        <f>N125+1</f>
        <v>2010</v>
      </c>
      <c r="P125" s="357">
        <f>O125+1</f>
        <v>2011</v>
      </c>
      <c r="Q125" s="357">
        <f>P125+1</f>
        <v>2012</v>
      </c>
      <c r="R125" s="358">
        <f>Q125+1</f>
        <v>2013</v>
      </c>
    </row>
    <row r="126" spans="1:18" ht="13.5" thickBot="1">
      <c r="B126" s="384" t="s">
        <v>419</v>
      </c>
    </row>
    <row r="127" spans="1:18">
      <c r="A127" s="463">
        <f>VLOOKUP(B127,Assumptions!$B$109:$C$159,2,FALSE)</f>
        <v>50</v>
      </c>
      <c r="B127" s="299" t="s">
        <v>238</v>
      </c>
      <c r="C127" s="466">
        <v>1</v>
      </c>
      <c r="D127" s="211">
        <f>ROUND($C127*D$122,0)</f>
        <v>3956</v>
      </c>
      <c r="E127" s="211">
        <f>ROUND($C127*E$122,0)</f>
        <v>3956</v>
      </c>
      <c r="F127" s="211">
        <f t="shared" ref="F127:H144" si="22">ROUND($C127*F$122,0)</f>
        <v>1978</v>
      </c>
      <c r="G127" s="211">
        <f t="shared" si="22"/>
        <v>2967</v>
      </c>
      <c r="H127" s="211">
        <f t="shared" si="22"/>
        <v>3956</v>
      </c>
      <c r="I127" s="283">
        <f>ROUND(D127*Assumptions!D32,0)</f>
        <v>3560</v>
      </c>
      <c r="J127" s="283">
        <f>ROUND(E127*Assumptions!E32,0)</f>
        <v>3560</v>
      </c>
      <c r="K127" s="283">
        <f>ROUND(F127*Assumptions!F32,0)</f>
        <v>1780</v>
      </c>
      <c r="L127" s="283">
        <f>ROUND(G127*Assumptions!G32,0)</f>
        <v>2670</v>
      </c>
      <c r="M127" s="283">
        <f>ROUND(H127*Assumptions!H32,0)</f>
        <v>3560</v>
      </c>
      <c r="N127" s="283">
        <f>D127-I127</f>
        <v>396</v>
      </c>
      <c r="O127" s="283">
        <f t="shared" ref="O127:O153" si="23">E127-J127</f>
        <v>396</v>
      </c>
      <c r="P127" s="283">
        <f t="shared" ref="P127:P153" si="24">F127-K127</f>
        <v>198</v>
      </c>
      <c r="Q127" s="283">
        <f t="shared" ref="Q127:Q153" si="25">G127-L127</f>
        <v>297</v>
      </c>
      <c r="R127" s="283">
        <f t="shared" ref="R127:R153" si="26">H127-M127</f>
        <v>396</v>
      </c>
    </row>
    <row r="128" spans="1:18" ht="13.5" thickBot="1">
      <c r="B128" s="288"/>
      <c r="C128" s="467"/>
      <c r="D128" s="211">
        <f t="shared" ref="D128:E142" si="27">ROUND($C128*D$122,0)</f>
        <v>0</v>
      </c>
      <c r="E128" s="211">
        <f t="shared" si="27"/>
        <v>0</v>
      </c>
      <c r="F128" s="211">
        <f t="shared" si="22"/>
        <v>0</v>
      </c>
      <c r="G128" s="211">
        <f t="shared" si="22"/>
        <v>0</v>
      </c>
      <c r="H128" s="211">
        <f t="shared" si="22"/>
        <v>0</v>
      </c>
      <c r="I128" s="283">
        <f>ROUND(D128*Assumptions!D33,0)</f>
        <v>0</v>
      </c>
      <c r="J128" s="283">
        <f>ROUND(E128*Assumptions!E33,0)</f>
        <v>0</v>
      </c>
      <c r="K128" s="283">
        <f>ROUND(F128*Assumptions!F33,0)</f>
        <v>0</v>
      </c>
      <c r="L128" s="283">
        <f>ROUND(G128*Assumptions!G33,0)</f>
        <v>0</v>
      </c>
      <c r="M128" s="283">
        <f>ROUND(H128*Assumptions!H33,0)</f>
        <v>0</v>
      </c>
      <c r="N128" s="283">
        <f t="shared" ref="N128:N153" si="28">D128-I128</f>
        <v>0</v>
      </c>
      <c r="O128" s="283">
        <f t="shared" si="23"/>
        <v>0</v>
      </c>
      <c r="P128" s="283">
        <f t="shared" si="24"/>
        <v>0</v>
      </c>
      <c r="Q128" s="283">
        <f t="shared" si="25"/>
        <v>0</v>
      </c>
      <c r="R128" s="283">
        <f t="shared" si="26"/>
        <v>0</v>
      </c>
    </row>
    <row r="129" spans="1:18">
      <c r="A129" s="463">
        <f>VLOOKUP(B129,Assumptions!$B$109:$C$159,2,FALSE)</f>
        <v>50</v>
      </c>
      <c r="B129" s="289" t="s">
        <v>439</v>
      </c>
      <c r="C129" s="466">
        <v>1</v>
      </c>
      <c r="D129" s="211">
        <f t="shared" si="27"/>
        <v>3956</v>
      </c>
      <c r="E129" s="211">
        <f t="shared" si="27"/>
        <v>3956</v>
      </c>
      <c r="F129" s="211">
        <f t="shared" si="22"/>
        <v>1978</v>
      </c>
      <c r="G129" s="211">
        <f t="shared" si="22"/>
        <v>2967</v>
      </c>
      <c r="H129" s="211">
        <f t="shared" si="22"/>
        <v>3956</v>
      </c>
      <c r="I129" s="283">
        <f>ROUND(D129*Assumptions!D34,0)</f>
        <v>3165</v>
      </c>
      <c r="J129" s="283">
        <f>ROUND(E129*Assumptions!E34,0)</f>
        <v>3165</v>
      </c>
      <c r="K129" s="283">
        <f>ROUND(F129*Assumptions!F34,0)</f>
        <v>1582</v>
      </c>
      <c r="L129" s="283">
        <f>ROUND(G129*Assumptions!G34,0)</f>
        <v>2374</v>
      </c>
      <c r="M129" s="283">
        <f>ROUND(H129*Assumptions!H34,0)</f>
        <v>3165</v>
      </c>
      <c r="N129" s="283">
        <f t="shared" si="28"/>
        <v>791</v>
      </c>
      <c r="O129" s="283">
        <f t="shared" si="23"/>
        <v>791</v>
      </c>
      <c r="P129" s="283">
        <f t="shared" si="24"/>
        <v>396</v>
      </c>
      <c r="Q129" s="283">
        <f t="shared" si="25"/>
        <v>593</v>
      </c>
      <c r="R129" s="283">
        <f t="shared" si="26"/>
        <v>791</v>
      </c>
    </row>
    <row r="130" spans="1:18">
      <c r="B130" s="288"/>
      <c r="C130" s="467"/>
      <c r="D130" s="211">
        <f t="shared" si="27"/>
        <v>0</v>
      </c>
      <c r="E130" s="211">
        <f t="shared" si="27"/>
        <v>0</v>
      </c>
      <c r="F130" s="211">
        <f t="shared" si="22"/>
        <v>0</v>
      </c>
      <c r="G130" s="211">
        <f t="shared" si="22"/>
        <v>0</v>
      </c>
      <c r="H130" s="211">
        <f t="shared" si="22"/>
        <v>0</v>
      </c>
      <c r="I130" s="283">
        <f>ROUND(D130*Assumptions!D35,0)</f>
        <v>0</v>
      </c>
      <c r="J130" s="283">
        <f>ROUND(E130*Assumptions!E35,0)</f>
        <v>0</v>
      </c>
      <c r="K130" s="283">
        <f>ROUND(F130*Assumptions!F35,0)</f>
        <v>0</v>
      </c>
      <c r="L130" s="283">
        <f>ROUND(G130*Assumptions!G35,0)</f>
        <v>0</v>
      </c>
      <c r="M130" s="283">
        <f>ROUND(H130*Assumptions!H35,0)</f>
        <v>0</v>
      </c>
      <c r="N130" s="283">
        <f t="shared" si="28"/>
        <v>0</v>
      </c>
      <c r="O130" s="283">
        <f t="shared" si="23"/>
        <v>0</v>
      </c>
      <c r="P130" s="283">
        <f t="shared" si="24"/>
        <v>0</v>
      </c>
      <c r="Q130" s="283">
        <f t="shared" si="25"/>
        <v>0</v>
      </c>
      <c r="R130" s="283">
        <f t="shared" si="26"/>
        <v>0</v>
      </c>
    </row>
    <row r="131" spans="1:18">
      <c r="B131" s="288"/>
      <c r="C131" s="467"/>
      <c r="D131" s="211">
        <f t="shared" si="27"/>
        <v>0</v>
      </c>
      <c r="E131" s="211">
        <f t="shared" si="27"/>
        <v>0</v>
      </c>
      <c r="F131" s="211">
        <f t="shared" si="22"/>
        <v>0</v>
      </c>
      <c r="G131" s="211">
        <f t="shared" si="22"/>
        <v>0</v>
      </c>
      <c r="H131" s="211">
        <f t="shared" si="22"/>
        <v>0</v>
      </c>
      <c r="I131" s="283">
        <f>ROUND(D131*Assumptions!D36,0)</f>
        <v>0</v>
      </c>
      <c r="J131" s="283">
        <f>ROUND(E131*Assumptions!E36,0)</f>
        <v>0</v>
      </c>
      <c r="K131" s="283">
        <f>ROUND(F131*Assumptions!F36,0)</f>
        <v>0</v>
      </c>
      <c r="L131" s="283">
        <f>ROUND(G131*Assumptions!G36,0)</f>
        <v>0</v>
      </c>
      <c r="M131" s="283">
        <f>ROUND(H131*Assumptions!H36,0)</f>
        <v>0</v>
      </c>
      <c r="N131" s="283">
        <f t="shared" si="28"/>
        <v>0</v>
      </c>
      <c r="O131" s="283">
        <f t="shared" si="23"/>
        <v>0</v>
      </c>
      <c r="P131" s="283">
        <f t="shared" si="24"/>
        <v>0</v>
      </c>
      <c r="Q131" s="283">
        <f t="shared" si="25"/>
        <v>0</v>
      </c>
      <c r="R131" s="283">
        <f t="shared" si="26"/>
        <v>0</v>
      </c>
    </row>
    <row r="132" spans="1:18">
      <c r="B132" s="288"/>
      <c r="C132" s="467"/>
      <c r="D132" s="211">
        <f t="shared" si="27"/>
        <v>0</v>
      </c>
      <c r="E132" s="211">
        <f t="shared" si="27"/>
        <v>0</v>
      </c>
      <c r="F132" s="211">
        <f t="shared" si="22"/>
        <v>0</v>
      </c>
      <c r="G132" s="211">
        <f t="shared" si="22"/>
        <v>0</v>
      </c>
      <c r="H132" s="211">
        <f t="shared" si="22"/>
        <v>0</v>
      </c>
      <c r="I132" s="283">
        <f>ROUND(D132*Assumptions!D37,0)</f>
        <v>0</v>
      </c>
      <c r="J132" s="283">
        <f>ROUND(E132*Assumptions!E37,0)</f>
        <v>0</v>
      </c>
      <c r="K132" s="283">
        <f>ROUND(F132*Assumptions!F37,0)</f>
        <v>0</v>
      </c>
      <c r="L132" s="283">
        <f>ROUND(G132*Assumptions!G37,0)</f>
        <v>0</v>
      </c>
      <c r="M132" s="283">
        <f>ROUND(H132*Assumptions!H37,0)</f>
        <v>0</v>
      </c>
      <c r="N132" s="283">
        <f t="shared" si="28"/>
        <v>0</v>
      </c>
      <c r="O132" s="283">
        <f t="shared" si="23"/>
        <v>0</v>
      </c>
      <c r="P132" s="283">
        <f t="shared" si="24"/>
        <v>0</v>
      </c>
      <c r="Q132" s="283">
        <f t="shared" si="25"/>
        <v>0</v>
      </c>
      <c r="R132" s="283">
        <f t="shared" si="26"/>
        <v>0</v>
      </c>
    </row>
    <row r="133" spans="1:18" ht="13.5" thickBot="1">
      <c r="B133" s="288"/>
      <c r="C133" s="467"/>
      <c r="D133" s="211">
        <f t="shared" si="27"/>
        <v>0</v>
      </c>
      <c r="E133" s="211">
        <f t="shared" si="27"/>
        <v>0</v>
      </c>
      <c r="F133" s="211">
        <f t="shared" si="22"/>
        <v>0</v>
      </c>
      <c r="G133" s="211">
        <f t="shared" si="22"/>
        <v>0</v>
      </c>
      <c r="H133" s="211">
        <f t="shared" si="22"/>
        <v>0</v>
      </c>
      <c r="I133" s="283">
        <f>ROUND(D133*Assumptions!D38,0)</f>
        <v>0</v>
      </c>
      <c r="J133" s="283">
        <f>ROUND(E133*Assumptions!E38,0)</f>
        <v>0</v>
      </c>
      <c r="K133" s="283">
        <f>ROUND(F133*Assumptions!F38,0)</f>
        <v>0</v>
      </c>
      <c r="L133" s="283">
        <f>ROUND(G133*Assumptions!G38,0)</f>
        <v>0</v>
      </c>
      <c r="M133" s="283">
        <f>ROUND(H133*Assumptions!H38,0)</f>
        <v>0</v>
      </c>
      <c r="N133" s="283">
        <f t="shared" si="28"/>
        <v>0</v>
      </c>
      <c r="O133" s="283">
        <f t="shared" si="23"/>
        <v>0</v>
      </c>
      <c r="P133" s="283">
        <f t="shared" si="24"/>
        <v>0</v>
      </c>
      <c r="Q133" s="283">
        <f t="shared" si="25"/>
        <v>0</v>
      </c>
      <c r="R133" s="283">
        <f t="shared" si="26"/>
        <v>0</v>
      </c>
    </row>
    <row r="134" spans="1:18" ht="13.5" thickBot="1">
      <c r="A134" s="463">
        <f>VLOOKUP(B134,Assumptions!$B$109:$C$159,2,FALSE)</f>
        <v>50</v>
      </c>
      <c r="B134" s="288" t="s">
        <v>421</v>
      </c>
      <c r="C134" s="466">
        <v>1</v>
      </c>
      <c r="D134" s="211">
        <f t="shared" si="27"/>
        <v>3956</v>
      </c>
      <c r="E134" s="211">
        <f t="shared" si="27"/>
        <v>3956</v>
      </c>
      <c r="F134" s="211">
        <f t="shared" si="22"/>
        <v>1978</v>
      </c>
      <c r="G134" s="211">
        <f t="shared" si="22"/>
        <v>2967</v>
      </c>
      <c r="H134" s="211">
        <f t="shared" si="22"/>
        <v>3956</v>
      </c>
      <c r="I134" s="283">
        <f>ROUND(D134*Assumptions!D39,0)</f>
        <v>3560</v>
      </c>
      <c r="J134" s="283">
        <f>ROUND(E134*Assumptions!E39,0)</f>
        <v>3560</v>
      </c>
      <c r="K134" s="283">
        <f>ROUND(F134*Assumptions!F39,0)</f>
        <v>1780</v>
      </c>
      <c r="L134" s="283">
        <f>ROUND(G134*Assumptions!G39,0)</f>
        <v>2670</v>
      </c>
      <c r="M134" s="283">
        <f>ROUND(H134*Assumptions!H39,0)</f>
        <v>3560</v>
      </c>
      <c r="N134" s="283">
        <f t="shared" si="28"/>
        <v>396</v>
      </c>
      <c r="O134" s="283">
        <f t="shared" si="23"/>
        <v>396</v>
      </c>
      <c r="P134" s="283">
        <f t="shared" si="24"/>
        <v>198</v>
      </c>
      <c r="Q134" s="283">
        <f t="shared" si="25"/>
        <v>297</v>
      </c>
      <c r="R134" s="283">
        <f t="shared" si="26"/>
        <v>396</v>
      </c>
    </row>
    <row r="135" spans="1:18">
      <c r="A135" s="463">
        <f>VLOOKUP(B135,Assumptions!$B$109:$C$159,2,FALSE)</f>
        <v>50</v>
      </c>
      <c r="B135" s="289" t="s">
        <v>240</v>
      </c>
      <c r="C135" s="466">
        <v>1</v>
      </c>
      <c r="D135" s="211">
        <f t="shared" si="27"/>
        <v>3956</v>
      </c>
      <c r="E135" s="211">
        <f t="shared" si="27"/>
        <v>3956</v>
      </c>
      <c r="F135" s="211">
        <f t="shared" si="22"/>
        <v>1978</v>
      </c>
      <c r="G135" s="211">
        <f t="shared" si="22"/>
        <v>2967</v>
      </c>
      <c r="H135" s="211">
        <f t="shared" si="22"/>
        <v>3956</v>
      </c>
      <c r="I135" s="283">
        <f>ROUND(D135*Assumptions!D40,0)</f>
        <v>3165</v>
      </c>
      <c r="J135" s="283">
        <f>ROUND(E135*Assumptions!E40,0)</f>
        <v>3165</v>
      </c>
      <c r="K135" s="283">
        <f>ROUND(F135*Assumptions!F40,0)</f>
        <v>1582</v>
      </c>
      <c r="L135" s="283">
        <f>ROUND(G135*Assumptions!G40,0)</f>
        <v>2374</v>
      </c>
      <c r="M135" s="283">
        <f>ROUND(H135*Assumptions!H40,0)</f>
        <v>3165</v>
      </c>
      <c r="N135" s="283">
        <f t="shared" si="28"/>
        <v>791</v>
      </c>
      <c r="O135" s="283">
        <f t="shared" si="23"/>
        <v>791</v>
      </c>
      <c r="P135" s="283">
        <f t="shared" si="24"/>
        <v>396</v>
      </c>
      <c r="Q135" s="283">
        <f t="shared" si="25"/>
        <v>593</v>
      </c>
      <c r="R135" s="283">
        <f t="shared" si="26"/>
        <v>791</v>
      </c>
    </row>
    <row r="136" spans="1:18" ht="13.5" thickBot="1">
      <c r="B136" s="289"/>
      <c r="C136" s="467"/>
      <c r="D136" s="211">
        <f t="shared" si="27"/>
        <v>0</v>
      </c>
      <c r="E136" s="211">
        <f t="shared" si="27"/>
        <v>0</v>
      </c>
      <c r="F136" s="211">
        <f t="shared" si="22"/>
        <v>0</v>
      </c>
      <c r="G136" s="211">
        <f t="shared" si="22"/>
        <v>0</v>
      </c>
      <c r="H136" s="211">
        <f t="shared" si="22"/>
        <v>0</v>
      </c>
      <c r="I136" s="283">
        <f>ROUND(D136*Assumptions!D41,0)</f>
        <v>0</v>
      </c>
      <c r="J136" s="283">
        <f>ROUND(E136*Assumptions!E41,0)</f>
        <v>0</v>
      </c>
      <c r="K136" s="283">
        <f>ROUND(F136*Assumptions!F41,0)</f>
        <v>0</v>
      </c>
      <c r="L136" s="283">
        <f>ROUND(G136*Assumptions!G41,0)</f>
        <v>0</v>
      </c>
      <c r="M136" s="283">
        <f>ROUND(H136*Assumptions!H41,0)</f>
        <v>0</v>
      </c>
      <c r="N136" s="283">
        <f t="shared" si="28"/>
        <v>0</v>
      </c>
      <c r="O136" s="283">
        <f t="shared" si="23"/>
        <v>0</v>
      </c>
      <c r="P136" s="283">
        <f t="shared" si="24"/>
        <v>0</v>
      </c>
      <c r="Q136" s="283">
        <f t="shared" si="25"/>
        <v>0</v>
      </c>
      <c r="R136" s="283">
        <f t="shared" si="26"/>
        <v>0</v>
      </c>
    </row>
    <row r="137" spans="1:18" ht="13.5" thickBot="1">
      <c r="A137" s="463">
        <f>VLOOKUP(B137,Assumptions!$B$109:$C$159,2,FALSE)</f>
        <v>50</v>
      </c>
      <c r="B137" s="288" t="s">
        <v>423</v>
      </c>
      <c r="C137" s="466">
        <v>1</v>
      </c>
      <c r="D137" s="211">
        <f t="shared" si="27"/>
        <v>3956</v>
      </c>
      <c r="E137" s="211">
        <f t="shared" si="27"/>
        <v>3956</v>
      </c>
      <c r="F137" s="211">
        <f t="shared" si="22"/>
        <v>1978</v>
      </c>
      <c r="G137" s="211">
        <f t="shared" si="22"/>
        <v>2967</v>
      </c>
      <c r="H137" s="211">
        <f t="shared" si="22"/>
        <v>3956</v>
      </c>
      <c r="I137" s="283">
        <f>ROUND(D137*Assumptions!D42,0)</f>
        <v>3165</v>
      </c>
      <c r="J137" s="283">
        <f>ROUND(E137*Assumptions!E42,0)</f>
        <v>3165</v>
      </c>
      <c r="K137" s="283">
        <f>ROUND(F137*Assumptions!F42,0)</f>
        <v>1582</v>
      </c>
      <c r="L137" s="283">
        <f>ROUND(G137*Assumptions!G42,0)</f>
        <v>2374</v>
      </c>
      <c r="M137" s="283">
        <f>ROUND(H137*Assumptions!H42,0)</f>
        <v>3165</v>
      </c>
      <c r="N137" s="283">
        <f t="shared" si="28"/>
        <v>791</v>
      </c>
      <c r="O137" s="283">
        <f t="shared" si="23"/>
        <v>791</v>
      </c>
      <c r="P137" s="283">
        <f t="shared" si="24"/>
        <v>396</v>
      </c>
      <c r="Q137" s="283">
        <f t="shared" si="25"/>
        <v>593</v>
      </c>
      <c r="R137" s="283">
        <f t="shared" si="26"/>
        <v>791</v>
      </c>
    </row>
    <row r="138" spans="1:18">
      <c r="A138" s="463">
        <f>VLOOKUP(B138,Assumptions!$B$109:$C$159,2,FALSE)</f>
        <v>50</v>
      </c>
      <c r="B138" s="288" t="s">
        <v>241</v>
      </c>
      <c r="C138" s="466">
        <v>1</v>
      </c>
      <c r="D138" s="211">
        <f t="shared" si="27"/>
        <v>3956</v>
      </c>
      <c r="E138" s="211">
        <f t="shared" si="27"/>
        <v>3956</v>
      </c>
      <c r="F138" s="211">
        <f t="shared" si="22"/>
        <v>1978</v>
      </c>
      <c r="G138" s="211">
        <f t="shared" si="22"/>
        <v>2967</v>
      </c>
      <c r="H138" s="211">
        <f t="shared" si="22"/>
        <v>3956</v>
      </c>
      <c r="I138" s="283">
        <f>ROUND(D138*Assumptions!D43,0)</f>
        <v>3560</v>
      </c>
      <c r="J138" s="283">
        <f>ROUND(E138*Assumptions!E43,0)</f>
        <v>3560</v>
      </c>
      <c r="K138" s="283">
        <f>ROUND(F138*Assumptions!F43,0)</f>
        <v>1780</v>
      </c>
      <c r="L138" s="283">
        <f>ROUND(G138*Assumptions!G43,0)</f>
        <v>2670</v>
      </c>
      <c r="M138" s="283">
        <f>ROUND(H138*Assumptions!H43,0)</f>
        <v>3560</v>
      </c>
      <c r="N138" s="283">
        <f t="shared" si="28"/>
        <v>396</v>
      </c>
      <c r="O138" s="283">
        <f t="shared" si="23"/>
        <v>396</v>
      </c>
      <c r="P138" s="283">
        <f t="shared" si="24"/>
        <v>198</v>
      </c>
      <c r="Q138" s="283">
        <f t="shared" si="25"/>
        <v>297</v>
      </c>
      <c r="R138" s="283">
        <f t="shared" si="26"/>
        <v>396</v>
      </c>
    </row>
    <row r="139" spans="1:18">
      <c r="B139" s="288"/>
      <c r="C139" s="467"/>
      <c r="D139" s="211">
        <f t="shared" si="27"/>
        <v>0</v>
      </c>
      <c r="E139" s="211">
        <f t="shared" si="27"/>
        <v>0</v>
      </c>
      <c r="F139" s="211">
        <f t="shared" si="22"/>
        <v>0</v>
      </c>
      <c r="G139" s="211">
        <f t="shared" si="22"/>
        <v>0</v>
      </c>
      <c r="H139" s="211">
        <f t="shared" si="22"/>
        <v>0</v>
      </c>
      <c r="I139" s="283">
        <f>ROUND(D139*Assumptions!D44,0)</f>
        <v>0</v>
      </c>
      <c r="J139" s="283">
        <f>ROUND(E139*Assumptions!E44,0)</f>
        <v>0</v>
      </c>
      <c r="K139" s="283">
        <f>ROUND(F139*Assumptions!F44,0)</f>
        <v>0</v>
      </c>
      <c r="L139" s="283">
        <f>ROUND(G139*Assumptions!G44,0)</f>
        <v>0</v>
      </c>
      <c r="M139" s="283">
        <f>ROUND(H139*Assumptions!H44,0)</f>
        <v>0</v>
      </c>
      <c r="N139" s="283">
        <f t="shared" si="28"/>
        <v>0</v>
      </c>
      <c r="O139" s="283">
        <f t="shared" si="23"/>
        <v>0</v>
      </c>
      <c r="P139" s="283">
        <f t="shared" si="24"/>
        <v>0</v>
      </c>
      <c r="Q139" s="283">
        <f t="shared" si="25"/>
        <v>0</v>
      </c>
      <c r="R139" s="283">
        <f t="shared" si="26"/>
        <v>0</v>
      </c>
    </row>
    <row r="140" spans="1:18">
      <c r="B140" s="289"/>
      <c r="C140" s="467"/>
      <c r="D140" s="211">
        <f t="shared" si="27"/>
        <v>0</v>
      </c>
      <c r="E140" s="211">
        <f t="shared" si="27"/>
        <v>0</v>
      </c>
      <c r="F140" s="211">
        <f t="shared" si="22"/>
        <v>0</v>
      </c>
      <c r="G140" s="211">
        <f t="shared" si="22"/>
        <v>0</v>
      </c>
      <c r="H140" s="211">
        <f t="shared" si="22"/>
        <v>0</v>
      </c>
      <c r="I140" s="283">
        <f>ROUND(D140*Assumptions!D45,0)</f>
        <v>0</v>
      </c>
      <c r="J140" s="283">
        <f>ROUND(E140*Assumptions!E45,0)</f>
        <v>0</v>
      </c>
      <c r="K140" s="283">
        <f>ROUND(F140*Assumptions!F45,0)</f>
        <v>0</v>
      </c>
      <c r="L140" s="283">
        <f>ROUND(G140*Assumptions!G45,0)</f>
        <v>0</v>
      </c>
      <c r="M140" s="283">
        <f>ROUND(H140*Assumptions!H45,0)</f>
        <v>0</v>
      </c>
      <c r="N140" s="283">
        <f t="shared" si="28"/>
        <v>0</v>
      </c>
      <c r="O140" s="283">
        <f t="shared" si="23"/>
        <v>0</v>
      </c>
      <c r="P140" s="283">
        <f t="shared" si="24"/>
        <v>0</v>
      </c>
      <c r="Q140" s="283">
        <f t="shared" si="25"/>
        <v>0</v>
      </c>
      <c r="R140" s="283">
        <f t="shared" si="26"/>
        <v>0</v>
      </c>
    </row>
    <row r="141" spans="1:18">
      <c r="B141" s="289"/>
      <c r="C141" s="467"/>
      <c r="D141" s="211">
        <f t="shared" si="27"/>
        <v>0</v>
      </c>
      <c r="E141" s="211">
        <f t="shared" si="27"/>
        <v>0</v>
      </c>
      <c r="F141" s="211">
        <f t="shared" si="22"/>
        <v>0</v>
      </c>
      <c r="G141" s="211">
        <f t="shared" si="22"/>
        <v>0</v>
      </c>
      <c r="H141" s="211">
        <f t="shared" si="22"/>
        <v>0</v>
      </c>
      <c r="I141" s="283">
        <f>ROUND(D141*Assumptions!D46,0)</f>
        <v>0</v>
      </c>
      <c r="J141" s="283">
        <f>ROUND(E141*Assumptions!E46,0)</f>
        <v>0</v>
      </c>
      <c r="K141" s="283">
        <f>ROUND(F141*Assumptions!F46,0)</f>
        <v>0</v>
      </c>
      <c r="L141" s="283">
        <f>ROUND(G141*Assumptions!G46,0)</f>
        <v>0</v>
      </c>
      <c r="M141" s="283">
        <f>ROUND(H141*Assumptions!H46,0)</f>
        <v>0</v>
      </c>
      <c r="N141" s="283">
        <f t="shared" si="28"/>
        <v>0</v>
      </c>
      <c r="O141" s="283">
        <f t="shared" si="23"/>
        <v>0</v>
      </c>
      <c r="P141" s="283">
        <f t="shared" si="24"/>
        <v>0</v>
      </c>
      <c r="Q141" s="283">
        <f t="shared" si="25"/>
        <v>0</v>
      </c>
      <c r="R141" s="283">
        <f t="shared" si="26"/>
        <v>0</v>
      </c>
    </row>
    <row r="142" spans="1:18" ht="13.5" thickBot="1">
      <c r="A142" s="463">
        <f>VLOOKUP(B142,Assumptions!$B$109:$C$159,2,FALSE)</f>
        <v>50</v>
      </c>
      <c r="B142" s="290" t="s">
        <v>246</v>
      </c>
      <c r="C142" s="468">
        <v>1</v>
      </c>
      <c r="D142" s="211">
        <f t="shared" si="27"/>
        <v>3956</v>
      </c>
      <c r="E142" s="211">
        <f t="shared" si="27"/>
        <v>3956</v>
      </c>
      <c r="F142" s="211">
        <f t="shared" si="22"/>
        <v>1978</v>
      </c>
      <c r="G142" s="211">
        <f t="shared" si="22"/>
        <v>2967</v>
      </c>
      <c r="H142" s="211">
        <f t="shared" si="22"/>
        <v>3956</v>
      </c>
      <c r="I142" s="283">
        <f>ROUND(D142*Assumptions!D47,0)</f>
        <v>3560</v>
      </c>
      <c r="J142" s="283">
        <f>ROUND(E142*Assumptions!E47,0)</f>
        <v>3560</v>
      </c>
      <c r="K142" s="283">
        <f>ROUND(F142*Assumptions!F47,0)</f>
        <v>1780</v>
      </c>
      <c r="L142" s="283">
        <f>ROUND(G142*Assumptions!G47,0)</f>
        <v>2670</v>
      </c>
      <c r="M142" s="283">
        <f>ROUND(H142*Assumptions!H47,0)</f>
        <v>3560</v>
      </c>
      <c r="N142" s="283">
        <f t="shared" si="28"/>
        <v>396</v>
      </c>
      <c r="O142" s="283">
        <f t="shared" si="23"/>
        <v>396</v>
      </c>
      <c r="P142" s="283">
        <f t="shared" si="24"/>
        <v>198</v>
      </c>
      <c r="Q142" s="283">
        <f t="shared" si="25"/>
        <v>297</v>
      </c>
      <c r="R142" s="283">
        <f t="shared" si="26"/>
        <v>396</v>
      </c>
    </row>
    <row r="143" spans="1:18" ht="13.5" thickBot="1">
      <c r="B143" s="384" t="s">
        <v>424</v>
      </c>
      <c r="C143" s="382"/>
      <c r="N143" s="283">
        <f t="shared" si="28"/>
        <v>0</v>
      </c>
      <c r="O143" s="283">
        <f t="shared" si="23"/>
        <v>0</v>
      </c>
      <c r="P143" s="283">
        <f t="shared" si="24"/>
        <v>0</v>
      </c>
      <c r="Q143" s="283">
        <f t="shared" si="25"/>
        <v>0</v>
      </c>
      <c r="R143" s="283">
        <f t="shared" si="26"/>
        <v>0</v>
      </c>
    </row>
    <row r="144" spans="1:18" ht="13.5" thickBot="1">
      <c r="A144" s="463">
        <f>VLOOKUP(B144,Assumptions!$B$109:$C$159,2,FALSE)</f>
        <v>50</v>
      </c>
      <c r="B144" s="291" t="s">
        <v>442</v>
      </c>
      <c r="C144" s="466">
        <v>1</v>
      </c>
      <c r="D144" s="211">
        <f t="shared" ref="D144:H152" si="29">ROUND($C144*D$122,0)</f>
        <v>3956</v>
      </c>
      <c r="E144" s="211">
        <f t="shared" si="29"/>
        <v>3956</v>
      </c>
      <c r="F144" s="211">
        <f t="shared" si="22"/>
        <v>1978</v>
      </c>
      <c r="G144" s="211">
        <f t="shared" si="22"/>
        <v>2967</v>
      </c>
      <c r="H144" s="211">
        <f t="shared" si="22"/>
        <v>3956</v>
      </c>
      <c r="I144" s="283">
        <f>ROUND(D144*Assumptions!D49,0)</f>
        <v>3560</v>
      </c>
      <c r="J144" s="283">
        <f>ROUND(E144*Assumptions!E49,0)</f>
        <v>3560</v>
      </c>
      <c r="K144" s="283">
        <f>ROUND(F144*Assumptions!F49,0)</f>
        <v>1780</v>
      </c>
      <c r="L144" s="283">
        <f>ROUND(G144*Assumptions!G49,0)</f>
        <v>2670</v>
      </c>
      <c r="M144" s="283">
        <f>ROUND(H144*Assumptions!H49,0)</f>
        <v>3560</v>
      </c>
      <c r="N144" s="283">
        <f t="shared" si="28"/>
        <v>396</v>
      </c>
      <c r="O144" s="283">
        <f t="shared" si="23"/>
        <v>396</v>
      </c>
      <c r="P144" s="283">
        <f t="shared" si="24"/>
        <v>198</v>
      </c>
      <c r="Q144" s="283">
        <f t="shared" si="25"/>
        <v>297</v>
      </c>
      <c r="R144" s="283">
        <f t="shared" si="26"/>
        <v>396</v>
      </c>
    </row>
    <row r="145" spans="1:18" ht="13.5" thickBot="1">
      <c r="A145" s="463">
        <f>VLOOKUP(B145,Assumptions!$B$109:$C$159,2,FALSE)</f>
        <v>50</v>
      </c>
      <c r="B145" s="292" t="s">
        <v>463</v>
      </c>
      <c r="C145" s="466">
        <v>1</v>
      </c>
      <c r="D145" s="211">
        <f t="shared" si="29"/>
        <v>3956</v>
      </c>
      <c r="E145" s="211">
        <f t="shared" si="29"/>
        <v>3956</v>
      </c>
      <c r="F145" s="211">
        <f t="shared" si="29"/>
        <v>1978</v>
      </c>
      <c r="G145" s="211">
        <f t="shared" si="29"/>
        <v>2967</v>
      </c>
      <c r="H145" s="211">
        <f t="shared" si="29"/>
        <v>3956</v>
      </c>
      <c r="I145" s="283">
        <f>ROUND(D145*Assumptions!D50,0)</f>
        <v>3560</v>
      </c>
      <c r="J145" s="283">
        <f>ROUND(E145*Assumptions!E50,0)</f>
        <v>3560</v>
      </c>
      <c r="K145" s="283">
        <f>ROUND(F145*Assumptions!F50,0)</f>
        <v>1780</v>
      </c>
      <c r="L145" s="283">
        <f>ROUND(G145*Assumptions!G50,0)</f>
        <v>2670</v>
      </c>
      <c r="M145" s="283">
        <f>ROUND(H145*Assumptions!H50,0)</f>
        <v>3560</v>
      </c>
      <c r="N145" s="283">
        <f t="shared" si="28"/>
        <v>396</v>
      </c>
      <c r="O145" s="283">
        <f t="shared" si="23"/>
        <v>396</v>
      </c>
      <c r="P145" s="283">
        <f t="shared" si="24"/>
        <v>198</v>
      </c>
      <c r="Q145" s="283">
        <f t="shared" si="25"/>
        <v>297</v>
      </c>
      <c r="R145" s="283">
        <f t="shared" si="26"/>
        <v>396</v>
      </c>
    </row>
    <row r="146" spans="1:18" ht="13.5" thickBot="1">
      <c r="A146" s="463">
        <f>VLOOKUP(B146,Assumptions!$B$109:$C$159,2,FALSE)</f>
        <v>50</v>
      </c>
      <c r="B146" s="292" t="s">
        <v>464</v>
      </c>
      <c r="C146" s="466">
        <v>1</v>
      </c>
      <c r="D146" s="211">
        <f t="shared" si="29"/>
        <v>3956</v>
      </c>
      <c r="E146" s="211">
        <f t="shared" si="29"/>
        <v>3956</v>
      </c>
      <c r="F146" s="211">
        <f t="shared" si="29"/>
        <v>1978</v>
      </c>
      <c r="G146" s="211">
        <f t="shared" si="29"/>
        <v>2967</v>
      </c>
      <c r="H146" s="211">
        <f t="shared" si="29"/>
        <v>3956</v>
      </c>
      <c r="I146" s="283">
        <f>ROUND(D146*Assumptions!D51,0)</f>
        <v>3560</v>
      </c>
      <c r="J146" s="283">
        <f>ROUND(E146*Assumptions!E51,0)</f>
        <v>3560</v>
      </c>
      <c r="K146" s="283">
        <f>ROUND(F146*Assumptions!F51,0)</f>
        <v>1780</v>
      </c>
      <c r="L146" s="283">
        <f>ROUND(G146*Assumptions!G51,0)</f>
        <v>2670</v>
      </c>
      <c r="M146" s="283">
        <f>ROUND(H146*Assumptions!H51,0)</f>
        <v>3560</v>
      </c>
      <c r="N146" s="283">
        <f t="shared" si="28"/>
        <v>396</v>
      </c>
      <c r="O146" s="283">
        <f t="shared" si="23"/>
        <v>396</v>
      </c>
      <c r="P146" s="283">
        <f t="shared" si="24"/>
        <v>198</v>
      </c>
      <c r="Q146" s="283">
        <f t="shared" si="25"/>
        <v>297</v>
      </c>
      <c r="R146" s="283">
        <f t="shared" si="26"/>
        <v>396</v>
      </c>
    </row>
    <row r="147" spans="1:18">
      <c r="A147" s="463">
        <f>VLOOKUP(B147,Assumptions!$B$109:$C$159,2,FALSE)</f>
        <v>50</v>
      </c>
      <c r="B147" s="292" t="s">
        <v>247</v>
      </c>
      <c r="C147" s="466">
        <v>1</v>
      </c>
      <c r="D147" s="211">
        <f t="shared" si="29"/>
        <v>3956</v>
      </c>
      <c r="E147" s="211">
        <f t="shared" si="29"/>
        <v>3956</v>
      </c>
      <c r="F147" s="211">
        <f t="shared" si="29"/>
        <v>1978</v>
      </c>
      <c r="G147" s="211">
        <f t="shared" si="29"/>
        <v>2967</v>
      </c>
      <c r="H147" s="211">
        <f t="shared" si="29"/>
        <v>3956</v>
      </c>
      <c r="I147" s="283">
        <f>ROUND(D147*Assumptions!D52,0)</f>
        <v>3165</v>
      </c>
      <c r="J147" s="283">
        <f>ROUND(E147*Assumptions!E52,0)</f>
        <v>3165</v>
      </c>
      <c r="K147" s="283">
        <f>ROUND(F147*Assumptions!F52,0)</f>
        <v>1582</v>
      </c>
      <c r="L147" s="283">
        <f>ROUND(G147*Assumptions!G52,0)</f>
        <v>2374</v>
      </c>
      <c r="M147" s="283">
        <f>ROUND(H147*Assumptions!H52,0)</f>
        <v>3165</v>
      </c>
      <c r="N147" s="283">
        <f t="shared" si="28"/>
        <v>791</v>
      </c>
      <c r="O147" s="283">
        <f t="shared" si="23"/>
        <v>791</v>
      </c>
      <c r="P147" s="283">
        <f t="shared" si="24"/>
        <v>396</v>
      </c>
      <c r="Q147" s="283">
        <f t="shared" si="25"/>
        <v>593</v>
      </c>
      <c r="R147" s="283">
        <f t="shared" si="26"/>
        <v>791</v>
      </c>
    </row>
    <row r="148" spans="1:18">
      <c r="B148" s="292"/>
      <c r="C148" s="467"/>
      <c r="D148" s="211">
        <f t="shared" si="29"/>
        <v>0</v>
      </c>
      <c r="E148" s="211">
        <f t="shared" si="29"/>
        <v>0</v>
      </c>
      <c r="F148" s="211">
        <f t="shared" si="29"/>
        <v>0</v>
      </c>
      <c r="G148" s="211">
        <f t="shared" si="29"/>
        <v>0</v>
      </c>
      <c r="H148" s="211">
        <f t="shared" si="29"/>
        <v>0</v>
      </c>
      <c r="I148" s="283">
        <f>ROUND(D148*Assumptions!D53,0)</f>
        <v>0</v>
      </c>
      <c r="J148" s="283">
        <f>ROUND(E148*Assumptions!E53,0)</f>
        <v>0</v>
      </c>
      <c r="K148" s="283">
        <f>ROUND(F148*Assumptions!F53,0)</f>
        <v>0</v>
      </c>
      <c r="L148" s="283">
        <f>ROUND(G148*Assumptions!G53,0)</f>
        <v>0</v>
      </c>
      <c r="M148" s="283">
        <f>ROUND(H148*Assumptions!H53,0)</f>
        <v>0</v>
      </c>
      <c r="N148" s="283">
        <f t="shared" si="28"/>
        <v>0</v>
      </c>
      <c r="O148" s="283">
        <f t="shared" si="23"/>
        <v>0</v>
      </c>
      <c r="P148" s="283">
        <f t="shared" si="24"/>
        <v>0</v>
      </c>
      <c r="Q148" s="283">
        <f t="shared" si="25"/>
        <v>0</v>
      </c>
      <c r="R148" s="283">
        <f t="shared" si="26"/>
        <v>0</v>
      </c>
    </row>
    <row r="149" spans="1:18">
      <c r="B149" s="293"/>
      <c r="C149" s="467"/>
      <c r="D149" s="211">
        <f t="shared" si="29"/>
        <v>0</v>
      </c>
      <c r="E149" s="211">
        <f t="shared" si="29"/>
        <v>0</v>
      </c>
      <c r="F149" s="211">
        <f t="shared" si="29"/>
        <v>0</v>
      </c>
      <c r="G149" s="211">
        <f t="shared" si="29"/>
        <v>0</v>
      </c>
      <c r="H149" s="211">
        <f t="shared" si="29"/>
        <v>0</v>
      </c>
      <c r="I149" s="283">
        <f>ROUND(D149*Assumptions!D54,0)</f>
        <v>0</v>
      </c>
      <c r="J149" s="283">
        <f>ROUND(E149*Assumptions!E54,0)</f>
        <v>0</v>
      </c>
      <c r="K149" s="283">
        <f>ROUND(F149*Assumptions!F54,0)</f>
        <v>0</v>
      </c>
      <c r="L149" s="283">
        <f>ROUND(G149*Assumptions!G54,0)</f>
        <v>0</v>
      </c>
      <c r="M149" s="283">
        <f>ROUND(H149*Assumptions!H54,0)</f>
        <v>0</v>
      </c>
      <c r="N149" s="283">
        <f t="shared" si="28"/>
        <v>0</v>
      </c>
      <c r="O149" s="283">
        <f t="shared" si="23"/>
        <v>0</v>
      </c>
      <c r="P149" s="283">
        <f t="shared" si="24"/>
        <v>0</v>
      </c>
      <c r="Q149" s="283">
        <f t="shared" si="25"/>
        <v>0</v>
      </c>
      <c r="R149" s="283">
        <f t="shared" si="26"/>
        <v>0</v>
      </c>
    </row>
    <row r="150" spans="1:18">
      <c r="B150" s="293"/>
      <c r="C150" s="467"/>
      <c r="D150" s="211">
        <f t="shared" si="29"/>
        <v>0</v>
      </c>
      <c r="E150" s="211">
        <f t="shared" si="29"/>
        <v>0</v>
      </c>
      <c r="F150" s="211">
        <f t="shared" si="29"/>
        <v>0</v>
      </c>
      <c r="G150" s="211">
        <f t="shared" si="29"/>
        <v>0</v>
      </c>
      <c r="H150" s="211">
        <f t="shared" si="29"/>
        <v>0</v>
      </c>
      <c r="I150" s="283">
        <f>ROUND(D150*Assumptions!D55,0)</f>
        <v>0</v>
      </c>
      <c r="J150" s="283">
        <f>ROUND(E150*Assumptions!E55,0)</f>
        <v>0</v>
      </c>
      <c r="K150" s="283">
        <f>ROUND(F150*Assumptions!F55,0)</f>
        <v>0</v>
      </c>
      <c r="L150" s="283">
        <f>ROUND(G150*Assumptions!G55,0)</f>
        <v>0</v>
      </c>
      <c r="M150" s="283">
        <f>ROUND(H150*Assumptions!H55,0)</f>
        <v>0</v>
      </c>
      <c r="N150" s="283">
        <f t="shared" si="28"/>
        <v>0</v>
      </c>
      <c r="O150" s="283">
        <f t="shared" si="23"/>
        <v>0</v>
      </c>
      <c r="P150" s="283">
        <f t="shared" si="24"/>
        <v>0</v>
      </c>
      <c r="Q150" s="283">
        <f t="shared" si="25"/>
        <v>0</v>
      </c>
      <c r="R150" s="283">
        <f t="shared" si="26"/>
        <v>0</v>
      </c>
    </row>
    <row r="151" spans="1:18">
      <c r="A151" s="463">
        <f>VLOOKUP(B151,Assumptions!$B$109:$C$159,2,FALSE)</f>
        <v>50</v>
      </c>
      <c r="B151" s="292" t="s">
        <v>426</v>
      </c>
      <c r="C151" s="467">
        <v>1</v>
      </c>
      <c r="D151" s="211">
        <f t="shared" si="29"/>
        <v>3956</v>
      </c>
      <c r="E151" s="211">
        <f t="shared" si="29"/>
        <v>3956</v>
      </c>
      <c r="F151" s="211">
        <f t="shared" si="29"/>
        <v>1978</v>
      </c>
      <c r="G151" s="211">
        <f t="shared" si="29"/>
        <v>2967</v>
      </c>
      <c r="H151" s="211">
        <f t="shared" si="29"/>
        <v>3956</v>
      </c>
      <c r="I151" s="283">
        <f>ROUND(D151*Assumptions!D56,0)</f>
        <v>3560</v>
      </c>
      <c r="J151" s="283">
        <f>ROUND(E151*Assumptions!E56,0)</f>
        <v>3560</v>
      </c>
      <c r="K151" s="283">
        <f>ROUND(F151*Assumptions!F56,0)</f>
        <v>1780</v>
      </c>
      <c r="L151" s="283">
        <f>ROUND(G151*Assumptions!G56,0)</f>
        <v>2670</v>
      </c>
      <c r="M151" s="283">
        <f>ROUND(H151*Assumptions!H56,0)</f>
        <v>3560</v>
      </c>
      <c r="N151" s="283">
        <f t="shared" si="28"/>
        <v>396</v>
      </c>
      <c r="O151" s="283">
        <f t="shared" si="23"/>
        <v>396</v>
      </c>
      <c r="P151" s="283">
        <f t="shared" si="24"/>
        <v>198</v>
      </c>
      <c r="Q151" s="283">
        <f t="shared" si="25"/>
        <v>297</v>
      </c>
      <c r="R151" s="283">
        <f t="shared" si="26"/>
        <v>396</v>
      </c>
    </row>
    <row r="152" spans="1:18" ht="13.5" thickBot="1">
      <c r="B152" s="312"/>
      <c r="C152" s="468"/>
      <c r="D152" s="211">
        <f t="shared" si="29"/>
        <v>0</v>
      </c>
      <c r="E152" s="211">
        <f t="shared" si="29"/>
        <v>0</v>
      </c>
      <c r="F152" s="211">
        <f t="shared" si="29"/>
        <v>0</v>
      </c>
      <c r="G152" s="211">
        <f t="shared" si="29"/>
        <v>0</v>
      </c>
      <c r="H152" s="211">
        <f t="shared" si="29"/>
        <v>0</v>
      </c>
      <c r="I152" s="283">
        <f>ROUND(D152*Assumptions!D57,0)</f>
        <v>0</v>
      </c>
      <c r="J152" s="283">
        <f>ROUND(E152*Assumptions!E57,0)</f>
        <v>0</v>
      </c>
      <c r="K152" s="283">
        <f>ROUND(F152*Assumptions!F57,0)</f>
        <v>0</v>
      </c>
      <c r="L152" s="283">
        <f>ROUND(G152*Assumptions!G57,0)</f>
        <v>0</v>
      </c>
      <c r="M152" s="283">
        <f>ROUND(H152*Assumptions!H57,0)</f>
        <v>0</v>
      </c>
      <c r="N152" s="283">
        <f t="shared" si="28"/>
        <v>0</v>
      </c>
      <c r="O152" s="283">
        <f t="shared" si="23"/>
        <v>0</v>
      </c>
      <c r="P152" s="283">
        <f t="shared" si="24"/>
        <v>0</v>
      </c>
      <c r="Q152" s="283">
        <f t="shared" si="25"/>
        <v>0</v>
      </c>
      <c r="R152" s="283">
        <f t="shared" si="26"/>
        <v>0</v>
      </c>
    </row>
    <row r="153" spans="1:18">
      <c r="B153" s="385" t="s">
        <v>250</v>
      </c>
      <c r="C153" s="382"/>
      <c r="N153" s="283">
        <f t="shared" si="28"/>
        <v>0</v>
      </c>
      <c r="O153" s="283">
        <f t="shared" si="23"/>
        <v>0</v>
      </c>
      <c r="P153" s="283">
        <f t="shared" si="24"/>
        <v>0</v>
      </c>
      <c r="Q153" s="283">
        <f t="shared" si="25"/>
        <v>0</v>
      </c>
      <c r="R153" s="283">
        <f t="shared" si="26"/>
        <v>0</v>
      </c>
    </row>
  </sheetData>
  <mergeCells count="9">
    <mergeCell ref="D11:H11"/>
    <mergeCell ref="I11:M11"/>
    <mergeCell ref="N11:R11"/>
    <mergeCell ref="D124:H124"/>
    <mergeCell ref="I124:M124"/>
    <mergeCell ref="N124:R124"/>
    <mergeCell ref="N68:R68"/>
    <mergeCell ref="D68:H68"/>
    <mergeCell ref="I68:M68"/>
  </mergeCells>
  <pageMargins left="0.7" right="0.7" top="0.75" bottom="0.75" header="0.3" footer="0.3"/>
  <pageSetup paperSize="9" scale="57" fitToHeight="1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50"/>
  <sheetViews>
    <sheetView workbookViewId="0">
      <selection activeCell="C11" sqref="C11:G11"/>
    </sheetView>
  </sheetViews>
  <sheetFormatPr defaultRowHeight="12.75"/>
  <cols>
    <col min="1" max="1" width="20.7109375" customWidth="1"/>
    <col min="2" max="2" width="42.7109375" customWidth="1"/>
    <col min="3" max="7" width="16" customWidth="1"/>
    <col min="8" max="11" width="16.28515625" customWidth="1"/>
    <col min="12" max="20" width="12.28515625" bestFit="1" customWidth="1"/>
  </cols>
  <sheetData>
    <row r="1" spans="1:10" s="9" customFormat="1" ht="47.25" customHeight="1" thickBot="1">
      <c r="B1" s="67" t="str">
        <f>co_name</f>
        <v>Sample Company</v>
      </c>
      <c r="C1" s="380"/>
      <c r="D1" s="380"/>
      <c r="E1" s="380"/>
      <c r="F1" s="380"/>
      <c r="G1" s="380"/>
      <c r="H1" s="86" t="str">
        <f>"Exhibit "&amp;_Exh5</f>
        <v>Exhibit 5</v>
      </c>
    </row>
    <row r="2" spans="1:10" s="9" customFormat="1" ht="18.75">
      <c r="B2" s="66" t="str">
        <f>proj_name</f>
        <v>Marine Operations Services</v>
      </c>
      <c r="E2"/>
      <c r="H2" s="68">
        <f ca="1">IF(date_toggle=1,run_date,"")</f>
        <v>39918</v>
      </c>
    </row>
    <row r="3" spans="1:10" s="9" customFormat="1" ht="18.75">
      <c r="B3" s="65" t="s">
        <v>468</v>
      </c>
      <c r="E3"/>
      <c r="H3" s="69">
        <f ca="1">IF(time_toggle=1,run_time,"")</f>
        <v>39918.566740393515</v>
      </c>
    </row>
    <row r="4" spans="1:10" ht="15.75">
      <c r="B4" s="390" t="str">
        <f>curr</f>
        <v>(in US Dollars)</v>
      </c>
      <c r="H4" s="9"/>
      <c r="I4" s="9"/>
    </row>
    <row r="5" spans="1:10">
      <c r="J5" s="353"/>
    </row>
    <row r="6" spans="1:10">
      <c r="C6" s="316">
        <f>first_year</f>
        <v>2009</v>
      </c>
      <c r="D6" s="316">
        <f>C6+1</f>
        <v>2010</v>
      </c>
      <c r="E6" s="316">
        <f>D6+1</f>
        <v>2011</v>
      </c>
      <c r="F6" s="316">
        <f>E6+1</f>
        <v>2012</v>
      </c>
      <c r="G6" s="340">
        <f>F6+1</f>
        <v>2013</v>
      </c>
      <c r="H6" s="353"/>
      <c r="I6" s="353"/>
      <c r="J6" s="283"/>
    </row>
    <row r="7" spans="1:10">
      <c r="C7" s="283"/>
      <c r="D7" s="283"/>
      <c r="E7" s="283"/>
      <c r="F7" s="283"/>
      <c r="G7" s="283"/>
      <c r="H7" s="283"/>
      <c r="I7" s="283"/>
      <c r="J7" s="283"/>
    </row>
    <row r="8" spans="1:10" ht="13.5" customHeight="1">
      <c r="B8" s="273" t="s">
        <v>337</v>
      </c>
      <c r="C8" s="211">
        <f>Assumptions!$D$103*Assumptions!D16*USDSR*12*Assumptions!$C$10</f>
        <v>11458087.048799999</v>
      </c>
      <c r="D8" s="211">
        <f>Assumptions!$D$103*Assumptions!E16*USDSR*12</f>
        <v>58927304.822400004</v>
      </c>
      <c r="E8" s="211">
        <f>Assumptions!$D$103*Assumptions!F16*USDSR*12</f>
        <v>81843478.920000002</v>
      </c>
      <c r="F8" s="211">
        <f>Assumptions!$D$103*Assumptions!G16*USDSR*12</f>
        <v>196424349.40799999</v>
      </c>
      <c r="G8" s="211">
        <f>Assumptions!$D$103*Assumptions!H16*USDSR*12</f>
        <v>278267828.32800001</v>
      </c>
      <c r="H8" s="211"/>
      <c r="I8" s="211"/>
    </row>
    <row r="9" spans="1:10">
      <c r="A9" s="282"/>
    </row>
    <row r="10" spans="1:10" ht="13.5" thickBot="1">
      <c r="A10" s="282"/>
      <c r="B10" s="282" t="s">
        <v>469</v>
      </c>
      <c r="C10" s="353"/>
      <c r="D10" s="353"/>
      <c r="E10" s="353"/>
      <c r="F10" s="353"/>
      <c r="G10" s="353"/>
      <c r="H10" s="391"/>
      <c r="I10" s="391"/>
    </row>
    <row r="11" spans="1:10" ht="13.5" thickBot="1">
      <c r="A11" s="282"/>
      <c r="C11" s="459" t="s">
        <v>529</v>
      </c>
      <c r="D11" s="460"/>
      <c r="E11" s="460"/>
      <c r="F11" s="460"/>
      <c r="G11" s="461"/>
      <c r="H11" s="391"/>
      <c r="I11" s="391"/>
    </row>
    <row r="12" spans="1:10">
      <c r="A12" s="282"/>
      <c r="B12" s="273" t="s">
        <v>419</v>
      </c>
      <c r="C12" s="393">
        <f>SUMPRODUCT(Assumptions!$C$110:$C$125,'Services Details'!I$14:I$29)*USDSR</f>
        <v>5032009.8955979999</v>
      </c>
      <c r="D12" s="393">
        <f>SUMPRODUCT(Assumptions!$C$110:$C$125,'Services Details'!J$14:J$29)*USDSR</f>
        <v>17253969.414317999</v>
      </c>
      <c r="E12" s="393">
        <f>SUMPRODUCT(Assumptions!$C$110:$C$125,'Services Details'!K$14:K$29)*USDSR</f>
        <v>14359438.376514001</v>
      </c>
      <c r="F12" s="393">
        <f>SUMPRODUCT(Assumptions!$C$110:$C$125,'Services Details'!L$14:L$29)*USDSR</f>
        <v>24845861.456135999</v>
      </c>
      <c r="G12" s="393">
        <f>SUMPRODUCT(Assumptions!$C$110:$C$125,'Services Details'!M$14:M$29)*USDSR</f>
        <v>26948329.492392</v>
      </c>
    </row>
    <row r="13" spans="1:10">
      <c r="A13" s="282"/>
      <c r="B13" s="273" t="s">
        <v>424</v>
      </c>
      <c r="C13" s="393">
        <f>SUMPRODUCT(Assumptions!$C$127:$C$135,'Services Details'!I$31:I$39)*USDSR</f>
        <v>2861338.9602419999</v>
      </c>
      <c r="D13" s="393">
        <f>SUMPRODUCT(Assumptions!$C$127:$C$135,'Services Details'!J$31:J$39)*USDSR</f>
        <v>9810305.0065439995</v>
      </c>
      <c r="E13" s="393">
        <f>SUMPRODUCT(Assumptions!$C$127:$C$135,'Services Details'!K$31:K$39)*USDSR</f>
        <v>8164341.7082639998</v>
      </c>
      <c r="F13" s="393">
        <f>SUMPRODUCT(Assumptions!$C$127:$C$135,'Services Details'!L$31:L$39)*USDSR</f>
        <v>14127093.83358</v>
      </c>
      <c r="G13" s="393">
        <f>SUMPRODUCT(Assumptions!$C$127:$C$135,'Services Details'!M$31:M$39)*USDSR</f>
        <v>15322463.311806001</v>
      </c>
    </row>
    <row r="14" spans="1:10">
      <c r="A14" s="282"/>
      <c r="B14" s="273" t="s">
        <v>250</v>
      </c>
      <c r="C14" s="341">
        <f>SUMPRODUCT(Assumptions!$C$137:$C$145,'Services Details'!I$41:I$49)*USDSR</f>
        <v>2844970.2644580002</v>
      </c>
      <c r="D14" s="341">
        <f>SUMPRODUCT(Assumptions!$C$137:$C$145,'Services Details'!J$41:J$49)*USDSR</f>
        <v>9752559.8853060007</v>
      </c>
      <c r="E14" s="341">
        <f>SUMPRODUCT(Assumptions!$C$137:$C$145,'Services Details'!K$41:K$49)*USDSR</f>
        <v>8116599.6788940001</v>
      </c>
      <c r="F14" s="341">
        <f>SUMPRODUCT(Assumptions!$C$137:$C$145,'Services Details'!L$41:L$49)*USDSR</f>
        <v>14043886.296678001</v>
      </c>
      <c r="G14" s="341">
        <f>SUMPRODUCT(Assumptions!$C$137:$C$145,'Services Details'!M$41:M$49)*USDSR</f>
        <v>15232890.170988001</v>
      </c>
    </row>
    <row r="15" spans="1:10">
      <c r="A15" s="282"/>
      <c r="B15" s="273" t="s">
        <v>323</v>
      </c>
      <c r="C15" s="341">
        <f>SUMPRODUCT(Assumptions!$C$147:$C$159,'Services Details'!I$51:I$63)*USDSR</f>
        <v>460142.225928</v>
      </c>
      <c r="D15" s="341">
        <f>SUMPRODUCT(Assumptions!$C$147:$C$159,'Services Details'!J$51:J$63)*USDSR</f>
        <v>1565938.5633360001</v>
      </c>
      <c r="E15" s="341">
        <f>SUMPRODUCT(Assumptions!$C$147:$C$159,'Services Details'!K$51:K$63)*USDSR</f>
        <v>1302675.3728100001</v>
      </c>
      <c r="F15" s="341">
        <f>SUMPRODUCT(Assumptions!$C$147:$C$159,'Services Details'!L$51:L$63)*USDSR</f>
        <v>2260698.762168</v>
      </c>
      <c r="G15" s="341">
        <f>SUMPRODUCT(Assumptions!$C$147:$C$159,'Services Details'!M$51:M$63)*USDSR</f>
        <v>2450757.5076600001</v>
      </c>
    </row>
    <row r="16" spans="1:10" ht="13.5" thickBot="1">
      <c r="A16" s="282"/>
      <c r="B16" s="282" t="s">
        <v>470</v>
      </c>
      <c r="C16" s="394">
        <f>SUM(C12:C15)</f>
        <v>11198461.346225999</v>
      </c>
      <c r="D16" s="394">
        <f>SUM(D12:D15)</f>
        <v>38382772.869503997</v>
      </c>
      <c r="E16" s="394">
        <f>SUM(E12:E15)</f>
        <v>31943055.136482</v>
      </c>
      <c r="F16" s="394">
        <f>SUM(F12:F15)</f>
        <v>55277540.348561995</v>
      </c>
      <c r="G16" s="394">
        <f>SUM(G12:G15)</f>
        <v>59954440.482845999</v>
      </c>
    </row>
    <row r="17" spans="1:7" ht="13.5" thickBot="1">
      <c r="A17" s="282"/>
    </row>
    <row r="18" spans="1:7" ht="13.5" thickBot="1">
      <c r="A18" s="282"/>
      <c r="C18" s="459" t="s">
        <v>530</v>
      </c>
      <c r="D18" s="460"/>
      <c r="E18" s="460"/>
      <c r="F18" s="460"/>
      <c r="G18" s="461"/>
    </row>
    <row r="19" spans="1:7">
      <c r="A19" s="282"/>
      <c r="C19" s="391"/>
      <c r="D19" s="391"/>
      <c r="E19" s="391"/>
      <c r="F19" s="391"/>
      <c r="G19" s="391"/>
    </row>
    <row r="20" spans="1:7">
      <c r="A20" s="282"/>
      <c r="B20" s="273" t="s">
        <v>419</v>
      </c>
      <c r="C20" s="393">
        <f>SUMPRODUCT(Assumptions!$C$110:$C$125,'Services Details'!N$14:N$29)*USDSR*(1+Assumptions!$D$102)</f>
        <v>1052325.2645136002</v>
      </c>
      <c r="D20" s="393">
        <f>SUMPRODUCT(Assumptions!$C$110:$C$125,'Services Details'!O$14:O$29)*USDSR*(1+Assumptions!$D$102)</f>
        <v>3607114.9276008005</v>
      </c>
      <c r="E20" s="393">
        <f>SUMPRODUCT(Assumptions!$C$110:$C$125,'Services Details'!P$14:P$29)*USDSR*(1+Assumptions!$D$102)</f>
        <v>3002428.0241802004</v>
      </c>
      <c r="F20" s="393">
        <f>SUMPRODUCT(Assumptions!$C$110:$C$125,'Services Details'!Q$14:Q$29)*USDSR*(1+Assumptions!$D$102)</f>
        <v>5195105.7616458004</v>
      </c>
      <c r="G20" s="393">
        <f>SUMPRODUCT(Assumptions!$C$110:$C$125,'Services Details'!R$14:R$29)*USDSR*(1+Assumptions!$D$102)</f>
        <v>5635241.8038378004</v>
      </c>
    </row>
    <row r="21" spans="1:7">
      <c r="A21" s="282"/>
      <c r="B21" s="273" t="s">
        <v>424</v>
      </c>
      <c r="C21" s="393">
        <f>SUMPRODUCT(Assumptions!$C$127:$C$135,'Services Details'!N$31:N$39)*USDSR*(1+Assumptions!$D$102)</f>
        <v>603686.59423380008</v>
      </c>
      <c r="D21" s="393">
        <f>SUMPRODUCT(Assumptions!$C$127:$C$135,'Services Details'!O$31:O$39)*USDSR*(1+Assumptions!$D$102)</f>
        <v>2070139.8620826001</v>
      </c>
      <c r="E21" s="393">
        <f>SUMPRODUCT(Assumptions!$C$127:$C$135,'Services Details'!P$31:P$39)*USDSR*(1+Assumptions!$D$102)</f>
        <v>1723532.7288564001</v>
      </c>
      <c r="F21" s="393">
        <f>SUMPRODUCT(Assumptions!$C$127:$C$135,'Services Details'!Q$31:Q$39)*USDSR*(1+Assumptions!$D$102)</f>
        <v>2981421.5312574003</v>
      </c>
      <c r="G21" s="393">
        <f>SUMPRODUCT(Assumptions!$C$127:$C$135,'Services Details'!R$31:R$39)*USDSR*(1+Assumptions!$D$102)</f>
        <v>3234499.7555178003</v>
      </c>
    </row>
    <row r="22" spans="1:7">
      <c r="A22" s="282"/>
      <c r="B22" s="273" t="s">
        <v>250</v>
      </c>
      <c r="C22" s="341">
        <f>SUMPRODUCT(Assumptions!$C$137:$C$145,'Services Details'!N$41:N$49)*USDSR*(1+Assumptions!$D$102)</f>
        <v>3365540.2589886002</v>
      </c>
      <c r="D22" s="341">
        <f>SUMPRODUCT(Assumptions!$C$137:$C$145,'Services Details'!O$41:O$49)*USDSR*(1+Assumptions!$D$102)</f>
        <v>11545068.479452202</v>
      </c>
      <c r="E22" s="341">
        <f>SUMPRODUCT(Assumptions!$C$137:$C$145,'Services Details'!P$41:P$49)*USDSR*(1+Assumptions!$D$102)</f>
        <v>9608469.8938074019</v>
      </c>
      <c r="F22" s="341">
        <f>SUMPRODUCT(Assumptions!$C$137:$C$145,'Services Details'!Q$41:Q$49)*USDSR*(1+Assumptions!$D$102)</f>
        <v>16625638.8392094</v>
      </c>
      <c r="G22" s="341">
        <f>SUMPRODUCT(Assumptions!$C$137:$C$145,'Services Details'!R$41:R$49)*USDSR*(1+Assumptions!$D$102)</f>
        <v>18031073.246663403</v>
      </c>
    </row>
    <row r="23" spans="1:7">
      <c r="A23" s="282"/>
      <c r="B23" s="273" t="s">
        <v>323</v>
      </c>
      <c r="C23" s="341">
        <f>SUMPRODUCT(Assumptions!$C$147:$C$159,'Services Details'!N$51:N$63)*USDSR*(1+Assumptions!$D$102)</f>
        <v>4527399.3794568004</v>
      </c>
      <c r="D23" s="341">
        <f>SUMPRODUCT(Assumptions!$C$147:$C$159,'Services Details'!O$51:O$63)*USDSR*(1+Assumptions!$D$102)</f>
        <v>15527799.506696401</v>
      </c>
      <c r="E23" s="341">
        <f>SUMPRODUCT(Assumptions!$C$147:$C$159,'Services Details'!P$51:P$63)*USDSR*(1+Assumptions!$D$102)</f>
        <v>12926495.466423001</v>
      </c>
      <c r="F23" s="341">
        <f>SUMPRODUCT(Assumptions!$C$147:$C$159,'Services Details'!Q$51:Q$63)*USDSR*(1+Assumptions!$D$102)</f>
        <v>22355910.015793204</v>
      </c>
      <c r="G23" s="341">
        <f>SUMPRODUCT(Assumptions!$C$147:$C$159,'Services Details'!R$51:R$63)*USDSR*(1+Assumptions!$D$102)</f>
        <v>24251495.924779203</v>
      </c>
    </row>
    <row r="24" spans="1:7" ht="13.5" thickBot="1">
      <c r="A24" s="282"/>
      <c r="B24" s="282" t="s">
        <v>471</v>
      </c>
      <c r="C24" s="394">
        <f>SUM(C20:C23)</f>
        <v>9548951.4971928</v>
      </c>
      <c r="D24" s="394">
        <f>SUM(D20:D23)</f>
        <v>32750122.775832005</v>
      </c>
      <c r="E24" s="394">
        <f>SUM(E20:E23)</f>
        <v>27260926.113267004</v>
      </c>
      <c r="F24" s="394">
        <f>SUM(F20:F23)</f>
        <v>47158076.147905804</v>
      </c>
      <c r="G24" s="394">
        <f>SUM(G20:G23)</f>
        <v>51152310.730798207</v>
      </c>
    </row>
    <row r="25" spans="1:7">
      <c r="A25" s="282"/>
    </row>
    <row r="26" spans="1:7">
      <c r="B26" s="101" t="s">
        <v>472</v>
      </c>
      <c r="C26" s="392">
        <f>C16+C24</f>
        <v>20747412.843418799</v>
      </c>
      <c r="D26" s="392">
        <f>D16+D24</f>
        <v>71132895.645336002</v>
      </c>
      <c r="E26" s="392">
        <f>E16+E24</f>
        <v>59203981.249749005</v>
      </c>
      <c r="F26" s="392">
        <f>F16+F24</f>
        <v>102435616.4964678</v>
      </c>
      <c r="G26" s="392">
        <f>G16+G24</f>
        <v>111106751.21364421</v>
      </c>
    </row>
    <row r="29" spans="1:7">
      <c r="B29" s="273" t="s">
        <v>450</v>
      </c>
      <c r="C29" s="211">
        <f>Assumptions!$D$104*Assumptions!D18*USDSR*12</f>
        <v>3884837.1327359998</v>
      </c>
      <c r="D29" s="211">
        <f>Assumptions!$D$104*Assumptions!E18*USDSR*12</f>
        <v>3884837.1327359998</v>
      </c>
      <c r="E29" s="211">
        <f>Assumptions!$D$104*Assumptions!F18*USDSR*12</f>
        <v>1942418.5663679999</v>
      </c>
      <c r="F29" s="211">
        <f>Assumptions!$D$104*Assumptions!G18*USDSR*12</f>
        <v>2913627.8495519999</v>
      </c>
      <c r="G29" s="211">
        <f>Assumptions!$D$104*Assumptions!H18*USDSR*12</f>
        <v>3884837.1327359998</v>
      </c>
    </row>
    <row r="30" spans="1:7">
      <c r="E30" s="283"/>
    </row>
    <row r="32" spans="1:7" hidden="1">
      <c r="B32" s="273" t="s">
        <v>360</v>
      </c>
    </row>
    <row r="33" spans="2:7" hidden="1">
      <c r="B33" s="412" t="s">
        <v>451</v>
      </c>
      <c r="C33" s="348" t="e">
        <f>SUMPRODUCT(Assumptions!$C$110:$C$159,'Services Details'!D$127:D$153)*USDSR</f>
        <v>#VALUE!</v>
      </c>
      <c r="D33" s="348" t="e">
        <f>SUMPRODUCT(Assumptions!$C$110:$C$159,'Services Details'!E$127:E$153)*USDSR</f>
        <v>#VALUE!</v>
      </c>
      <c r="E33" s="348" t="e">
        <f>SUMPRODUCT(Assumptions!$C$110:$C$159,'Services Details'!F$127:F$153)*USDSR</f>
        <v>#VALUE!</v>
      </c>
      <c r="F33" s="348" t="e">
        <f>SUMPRODUCT(Assumptions!$C$110:$C$159,'Services Details'!G$127:G$153)*USDSR</f>
        <v>#VALUE!</v>
      </c>
      <c r="G33" s="413" t="e">
        <f>SUMPRODUCT(Assumptions!$C$110:$C$159,'Services Details'!H$127:H$153)*USDSR</f>
        <v>#VALUE!</v>
      </c>
    </row>
    <row r="34" spans="2:7" hidden="1">
      <c r="B34" s="414" t="s">
        <v>361</v>
      </c>
      <c r="C34" s="415">
        <f>SUM('Services Details'!D$127:D$153)</f>
        <v>47472</v>
      </c>
      <c r="D34" s="415">
        <f>SUM('Services Details'!E$127:E$153)</f>
        <v>47472</v>
      </c>
      <c r="E34" s="415">
        <f>SUM('Services Details'!F$127:F$153)</f>
        <v>23736</v>
      </c>
      <c r="F34" s="415">
        <f>SUM('Services Details'!G$127:G$153)</f>
        <v>35604</v>
      </c>
      <c r="G34" s="416">
        <f>SUM('Services Details'!H$127:H$153)</f>
        <v>47472</v>
      </c>
    </row>
    <row r="35" spans="2:7" hidden="1">
      <c r="B35" s="414" t="s">
        <v>452</v>
      </c>
      <c r="C35" s="415"/>
      <c r="D35" s="415"/>
      <c r="E35" s="417" t="e">
        <f>E33*1200/(12*E34)</f>
        <v>#VALUE!</v>
      </c>
      <c r="F35" s="417" t="e">
        <f>F33/F34*1200/12</f>
        <v>#VALUE!</v>
      </c>
      <c r="G35" s="417" t="e">
        <f>G33/G34*1200/12</f>
        <v>#VALUE!</v>
      </c>
    </row>
    <row r="36" spans="2:7" hidden="1">
      <c r="E36">
        <f>2180/0.3</f>
        <v>7266.666666666667</v>
      </c>
    </row>
    <row r="37" spans="2:7" hidden="1">
      <c r="B37" s="418" t="s">
        <v>362</v>
      </c>
      <c r="C37" s="419"/>
      <c r="D37" s="419"/>
      <c r="E37" s="420" t="e">
        <f>ROUND(E35,-3)</f>
        <v>#VALUE!</v>
      </c>
      <c r="F37" s="420" t="e">
        <f>ROUND(F35,-3)</f>
        <v>#VALUE!</v>
      </c>
      <c r="G37" s="421" t="e">
        <f>ROUND(G35,-3)</f>
        <v>#VALUE!</v>
      </c>
    </row>
    <row r="38" spans="2:7" hidden="1"/>
    <row r="39" spans="2:7" hidden="1">
      <c r="E39" s="435"/>
    </row>
    <row r="40" spans="2:7">
      <c r="E40" s="436"/>
    </row>
    <row r="41" spans="2:7">
      <c r="E41" s="436"/>
    </row>
    <row r="43" spans="2:7">
      <c r="E43" s="437"/>
    </row>
    <row r="44" spans="2:7">
      <c r="E44" s="436"/>
    </row>
    <row r="49" spans="2:3">
      <c r="B49" s="435"/>
    </row>
    <row r="50" spans="2:3">
      <c r="C50" s="436"/>
    </row>
  </sheetData>
  <mergeCells count="2">
    <mergeCell ref="C18:G18"/>
    <mergeCell ref="C11:G11"/>
  </mergeCells>
  <pageMargins left="0.7" right="0.7" top="0.75" bottom="0.75" header="0.3" footer="0.3"/>
  <pageSetup paperSize="9" scale="83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B1:G56"/>
  <sheetViews>
    <sheetView workbookViewId="0"/>
  </sheetViews>
  <sheetFormatPr defaultRowHeight="12.75"/>
  <cols>
    <col min="1" max="1" width="20.7109375" customWidth="1"/>
    <col min="2" max="2" width="46.42578125" customWidth="1"/>
    <col min="3" max="7" width="23.85546875" customWidth="1"/>
  </cols>
  <sheetData>
    <row r="1" spans="2:7" s="64" customFormat="1" ht="46.5" customHeight="1" thickBot="1">
      <c r="B1" s="67" t="str">
        <f>co_name</f>
        <v>Sample Company</v>
      </c>
      <c r="C1" s="67"/>
      <c r="D1" s="67"/>
      <c r="E1" s="67"/>
      <c r="F1" s="67"/>
      <c r="G1" s="86" t="str">
        <f>"Exhibit "&amp;_Exh6</f>
        <v>Exhibit 6</v>
      </c>
    </row>
    <row r="2" spans="2:7" s="9" customFormat="1" ht="18.75">
      <c r="B2" s="66" t="str">
        <f>proj_name</f>
        <v>Marine Operations Services</v>
      </c>
      <c r="F2"/>
      <c r="G2" s="68">
        <f ca="1">IF(date_toggle=1,run_date,"")</f>
        <v>39918</v>
      </c>
    </row>
    <row r="3" spans="2:7" s="9" customFormat="1" ht="18.75">
      <c r="B3" s="65" t="s">
        <v>57</v>
      </c>
      <c r="F3"/>
      <c r="G3" s="69">
        <f ca="1">IF(time_toggle=1,run_time,"")</f>
        <v>39918.566740393515</v>
      </c>
    </row>
    <row r="4" spans="2:7" s="9" customFormat="1" ht="15.75">
      <c r="B4" s="390" t="str">
        <f>curr</f>
        <v>(in US Dollars)</v>
      </c>
    </row>
    <row r="5" spans="2:7">
      <c r="C5" s="218"/>
      <c r="D5" s="218"/>
    </row>
    <row r="6" spans="2:7">
      <c r="C6" s="318"/>
    </row>
    <row r="7" spans="2:7" ht="15.75">
      <c r="B7" s="113" t="s">
        <v>372</v>
      </c>
      <c r="C7" s="265">
        <f>first_year</f>
        <v>2009</v>
      </c>
      <c r="D7" s="101">
        <f>first_year+1</f>
        <v>2010</v>
      </c>
      <c r="E7" s="101">
        <f>D7+1</f>
        <v>2011</v>
      </c>
      <c r="F7" s="101">
        <f>E7+1</f>
        <v>2012</v>
      </c>
      <c r="G7" s="101">
        <f>F7+1</f>
        <v>2013</v>
      </c>
    </row>
    <row r="8" spans="2:7" s="112" customFormat="1" ht="15.75">
      <c r="B8" s="111" t="s">
        <v>493</v>
      </c>
      <c r="C8" s="173">
        <f>'Revenue Details'!C16</f>
        <v>11198461.346225999</v>
      </c>
      <c r="D8" s="173">
        <f>'Revenue Details'!D16</f>
        <v>38382772.869503997</v>
      </c>
      <c r="E8" s="173">
        <f>'Revenue Details'!E16</f>
        <v>31943055.136482</v>
      </c>
      <c r="F8" s="173">
        <f>'Revenue Details'!F16</f>
        <v>55277540.348561995</v>
      </c>
      <c r="G8" s="173">
        <f>'Revenue Details'!G16</f>
        <v>59954440.482845999</v>
      </c>
    </row>
    <row r="9" spans="2:7" s="112" customFormat="1" ht="15.75">
      <c r="B9" s="111" t="s">
        <v>494</v>
      </c>
      <c r="C9" s="173">
        <f>'Revenue Details'!C24</f>
        <v>9548951.4971928</v>
      </c>
      <c r="D9" s="173">
        <f>'Revenue Details'!D24</f>
        <v>32750122.775832005</v>
      </c>
      <c r="E9" s="173">
        <f>'Revenue Details'!E24</f>
        <v>27260926.113267004</v>
      </c>
      <c r="F9" s="173">
        <f>'Revenue Details'!F24</f>
        <v>47158076.147905804</v>
      </c>
      <c r="G9" s="173">
        <f>'Revenue Details'!G24</f>
        <v>51152310.730798207</v>
      </c>
    </row>
    <row r="10" spans="2:7" s="112" customFormat="1" ht="15.75">
      <c r="B10" s="111" t="s">
        <v>373</v>
      </c>
      <c r="C10" s="173">
        <f>'Revenue Details'!C8</f>
        <v>11458087.048799999</v>
      </c>
      <c r="D10" s="173">
        <f>'Revenue Details'!D8</f>
        <v>58927304.822400004</v>
      </c>
      <c r="E10" s="173">
        <f>'Revenue Details'!E8</f>
        <v>81843478.920000002</v>
      </c>
      <c r="F10" s="173">
        <f>'Revenue Details'!F8</f>
        <v>196424349.40799999</v>
      </c>
      <c r="G10" s="173">
        <f>'Revenue Details'!G8</f>
        <v>278267828.32800001</v>
      </c>
    </row>
    <row r="11" spans="2:7" s="112" customFormat="1" ht="15.75">
      <c r="B11" s="111" t="s">
        <v>483</v>
      </c>
      <c r="C11" s="173">
        <f>Assumptions!$D$102*Assumptions!$D$101*Assumptions!$D$88*Assumptions!D$21*USDSR*Assumptions!$C$10</f>
        <v>323008.93013759999</v>
      </c>
      <c r="D11" s="173">
        <f>Assumptions!$D$102*Assumptions!$D$101*Assumptions!$D$88*Assumptions!E$21*USDSR</f>
        <v>2584071.4411007999</v>
      </c>
      <c r="E11" s="173">
        <f>Assumptions!$D$102*Assumptions!$D$101*Assumptions!$D$88*Assumptions!F$21*USDSR</f>
        <v>3876107.1616512001</v>
      </c>
      <c r="F11" s="173">
        <f>Assumptions!$D$102*Assumptions!$D$101*Assumptions!$D$88*Assumptions!G$21*USDSR</f>
        <v>5168142.8822015999</v>
      </c>
      <c r="G11" s="173">
        <f>Assumptions!$D$102*Assumptions!$D$101*Assumptions!$D$88*Assumptions!H$21*USDSR</f>
        <v>6460178.6027520001</v>
      </c>
    </row>
    <row r="12" spans="2:7" s="112" customFormat="1" ht="15.75">
      <c r="B12" s="111" t="s">
        <v>453</v>
      </c>
      <c r="C12" s="422">
        <f>'Revenue Details'!C29</f>
        <v>3884837.1327359998</v>
      </c>
      <c r="D12" s="422">
        <f>'Revenue Details'!D29</f>
        <v>3884837.1327359998</v>
      </c>
      <c r="E12" s="422">
        <f>'Revenue Details'!E29</f>
        <v>1942418.5663679999</v>
      </c>
      <c r="F12" s="422">
        <f>'Revenue Details'!F29</f>
        <v>2913627.8495519999</v>
      </c>
      <c r="G12" s="422">
        <f>'Revenue Details'!G29</f>
        <v>3884837.1327359998</v>
      </c>
    </row>
    <row r="13" spans="2:7" s="112" customFormat="1" ht="15.75">
      <c r="B13" s="113" t="s">
        <v>58</v>
      </c>
      <c r="C13" s="114">
        <f>SUM(C8:C12)</f>
        <v>36413345.9550924</v>
      </c>
      <c r="D13" s="114">
        <f>SUM(D8:D12)</f>
        <v>136529109.04157281</v>
      </c>
      <c r="E13" s="114">
        <f>SUM(E8:E12)</f>
        <v>146865985.89776823</v>
      </c>
      <c r="F13" s="114">
        <f>SUM(F8:F12)</f>
        <v>306941736.63622141</v>
      </c>
      <c r="G13" s="114">
        <f>SUM(G8:G12)</f>
        <v>399719595.27713221</v>
      </c>
    </row>
    <row r="14" spans="2:7" s="112" customFormat="1" ht="15.75" hidden="1">
      <c r="B14" s="113"/>
      <c r="C14" s="114"/>
      <c r="D14" s="114"/>
      <c r="E14" s="114"/>
      <c r="F14" s="114"/>
      <c r="G14" s="114"/>
    </row>
    <row r="15" spans="2:7" ht="15" hidden="1">
      <c r="B15" s="103"/>
      <c r="C15" s="103"/>
      <c r="D15" s="103"/>
      <c r="E15" s="103"/>
      <c r="F15" s="103"/>
      <c r="G15" s="103"/>
    </row>
    <row r="16" spans="2:7" ht="15" hidden="1">
      <c r="B16" s="106"/>
      <c r="C16" s="106"/>
      <c r="D16" s="106"/>
      <c r="E16" s="106"/>
      <c r="F16" s="106"/>
      <c r="G16" s="106"/>
    </row>
    <row r="17" spans="2:7" ht="15.75" hidden="1">
      <c r="B17" s="107" t="s">
        <v>59</v>
      </c>
      <c r="C17" s="101"/>
      <c r="D17" s="101"/>
      <c r="E17" s="101"/>
      <c r="F17" s="101"/>
      <c r="G17" s="101"/>
    </row>
    <row r="18" spans="2:7" ht="15.75" hidden="1">
      <c r="B18" s="108" t="s">
        <v>60</v>
      </c>
      <c r="C18" s="31"/>
      <c r="D18" s="31"/>
      <c r="E18" s="31"/>
      <c r="F18" s="31"/>
      <c r="G18" s="31"/>
    </row>
    <row r="19" spans="2:7" ht="15.75" hidden="1">
      <c r="B19" s="108" t="s">
        <v>61</v>
      </c>
      <c r="C19" s="31"/>
      <c r="D19" s="31"/>
      <c r="E19" s="31"/>
      <c r="F19" s="31"/>
      <c r="G19" s="31"/>
    </row>
    <row r="20" spans="2:7" ht="15.75" hidden="1">
      <c r="B20" s="108" t="s">
        <v>62</v>
      </c>
      <c r="C20" s="31"/>
      <c r="D20" s="31"/>
      <c r="E20" s="31"/>
      <c r="F20" s="31"/>
      <c r="G20" s="31"/>
    </row>
    <row r="21" spans="2:7" ht="15.75" hidden="1">
      <c r="B21" s="108" t="s">
        <v>63</v>
      </c>
      <c r="C21" s="31"/>
      <c r="D21" s="31"/>
      <c r="E21" s="31"/>
      <c r="F21" s="31"/>
      <c r="G21" s="31"/>
    </row>
    <row r="22" spans="2:7" ht="15.75" hidden="1">
      <c r="B22" s="108" t="s">
        <v>64</v>
      </c>
      <c r="C22" s="31"/>
      <c r="D22" s="31"/>
      <c r="E22" s="31"/>
      <c r="F22" s="31"/>
      <c r="G22" s="31"/>
    </row>
    <row r="23" spans="2:7" ht="15.75" hidden="1">
      <c r="B23" s="109" t="s">
        <v>65</v>
      </c>
      <c r="C23" s="105">
        <f>SUM(C18:C22)</f>
        <v>0</v>
      </c>
      <c r="D23" s="105">
        <f>SUM(D18:D22)</f>
        <v>0</v>
      </c>
      <c r="E23" s="105">
        <f>SUM(E18:E22)</f>
        <v>0</v>
      </c>
      <c r="F23" s="105">
        <f>SUM(F18:F22)</f>
        <v>0</v>
      </c>
      <c r="G23" s="105">
        <f>SUM(G18:G22)</f>
        <v>0</v>
      </c>
    </row>
    <row r="24" spans="2:7" ht="15.75" hidden="1">
      <c r="B24" s="109"/>
      <c r="C24" s="108"/>
      <c r="D24" s="103"/>
      <c r="E24" s="103"/>
      <c r="F24" s="103"/>
      <c r="G24" s="103"/>
    </row>
    <row r="25" spans="2:7" ht="15.75">
      <c r="B25" s="109" t="s">
        <v>305</v>
      </c>
      <c r="C25" s="280">
        <v>0</v>
      </c>
      <c r="D25" s="281">
        <v>0</v>
      </c>
      <c r="E25" s="281">
        <v>0</v>
      </c>
      <c r="F25" s="281">
        <v>0</v>
      </c>
      <c r="G25" s="281">
        <v>0</v>
      </c>
    </row>
    <row r="26" spans="2:7" ht="15.75">
      <c r="B26" s="110" t="s">
        <v>66</v>
      </c>
      <c r="C26" s="105">
        <f>(+C23+C13)*(1-C25)</f>
        <v>36413345.9550924</v>
      </c>
      <c r="D26" s="105">
        <f>(+D23+D13)*(1-D25)</f>
        <v>136529109.04157281</v>
      </c>
      <c r="E26" s="105">
        <f>(+E23+E13)*(1-E25)</f>
        <v>146865985.89776823</v>
      </c>
      <c r="F26" s="105">
        <f>(+F23+F13)*(1-F25)</f>
        <v>306941736.63622141</v>
      </c>
      <c r="G26" s="105">
        <f>(+G23+G13)*(1-G25)</f>
        <v>399719595.27713221</v>
      </c>
    </row>
    <row r="27" spans="2:7" ht="15">
      <c r="B27" s="103"/>
      <c r="C27" s="103"/>
      <c r="D27" s="103"/>
      <c r="E27" s="103"/>
      <c r="F27" s="103"/>
      <c r="G27" s="103"/>
    </row>
    <row r="28" spans="2:7" ht="15.75">
      <c r="B28" s="113" t="s">
        <v>235</v>
      </c>
      <c r="C28" s="265"/>
      <c r="D28" s="101"/>
      <c r="E28" s="101"/>
      <c r="F28" s="101"/>
      <c r="G28" s="101"/>
    </row>
    <row r="29" spans="2:7" ht="15.75">
      <c r="B29" s="111" t="s">
        <v>493</v>
      </c>
      <c r="C29" s="173">
        <f>'Cost of Sales'!D12</f>
        <v>1094904.6784455115</v>
      </c>
      <c r="D29" s="173">
        <f>'Cost of Sales'!E12</f>
        <v>5615333.524776469</v>
      </c>
      <c r="E29" s="173">
        <f>'Cost of Sales'!F12</f>
        <v>5519883.2170410026</v>
      </c>
      <c r="F29" s="173">
        <f>'Cost of Sales'!G12</f>
        <v>9763886.3729545251</v>
      </c>
      <c r="G29" s="173">
        <f>'Cost of Sales'!H12</f>
        <v>11496583.726387756</v>
      </c>
    </row>
    <row r="30" spans="2:7" ht="15.75">
      <c r="B30" s="111" t="s">
        <v>494</v>
      </c>
      <c r="C30" s="173">
        <f>'Cost of Sales'!D17</f>
        <v>8680864.9974479992</v>
      </c>
      <c r="D30" s="173">
        <f>'Cost of Sales'!E17</f>
        <v>29772838.887120001</v>
      </c>
      <c r="E30" s="173">
        <f>'Cost of Sales'!F17</f>
        <v>24782660.10297</v>
      </c>
      <c r="F30" s="173">
        <f>'Cost of Sales'!G17</f>
        <v>42870978.316278003</v>
      </c>
      <c r="G30" s="173">
        <f>'Cost of Sales'!H17</f>
        <v>46502100.664361998</v>
      </c>
    </row>
    <row r="31" spans="2:7" ht="15.75">
      <c r="B31" s="111" t="s">
        <v>373</v>
      </c>
      <c r="C31" s="173">
        <f>'Cost of Sales'!D24</f>
        <v>2979725.7892685467</v>
      </c>
      <c r="D31" s="173">
        <f>'Cost of Sales'!E24</f>
        <v>16172257.747233015</v>
      </c>
      <c r="E31" s="173">
        <f>'Cost of Sales'!F24</f>
        <v>23090752.191019587</v>
      </c>
      <c r="F31" s="173">
        <f>'Cost of Sales'!G24</f>
        <v>55640279.075951479</v>
      </c>
      <c r="G31" s="173">
        <f>'Cost of Sales'!H24</f>
        <v>80049999.11416766</v>
      </c>
    </row>
    <row r="32" spans="2:7" ht="15.75">
      <c r="B32" s="111" t="s">
        <v>483</v>
      </c>
      <c r="C32" s="173">
        <f>'Cost of Sales'!D30</f>
        <v>104150</v>
      </c>
      <c r="D32" s="173">
        <f>'Cost of Sales'!E30</f>
        <v>656145</v>
      </c>
      <c r="E32" s="173">
        <f>'Cost of Sales'!F30</f>
        <v>688952.25</v>
      </c>
      <c r="F32" s="173">
        <f>'Cost of Sales'!G30</f>
        <v>723399.86250000005</v>
      </c>
      <c r="G32" s="173">
        <f>'Cost of Sales'!H30</f>
        <v>759569.85562499997</v>
      </c>
    </row>
    <row r="33" spans="2:7" ht="15.75">
      <c r="B33" s="111" t="s">
        <v>453</v>
      </c>
      <c r="C33" s="422">
        <f>'Cost of Sales'!D35</f>
        <v>0</v>
      </c>
      <c r="D33" s="422">
        <f>'Cost of Sales'!E35</f>
        <v>0</v>
      </c>
      <c r="E33" s="422">
        <f>'Cost of Sales'!F35</f>
        <v>236753.25</v>
      </c>
      <c r="F33" s="422">
        <f>'Cost of Sales'!G35</f>
        <v>248290.91250000003</v>
      </c>
      <c r="G33" s="422">
        <f>'Cost of Sales'!H35</f>
        <v>260405.458125</v>
      </c>
    </row>
    <row r="34" spans="2:7" ht="15.75">
      <c r="B34" s="110" t="s">
        <v>374</v>
      </c>
      <c r="C34" s="114">
        <f>SUM(C29:C33)</f>
        <v>12859645.465162057</v>
      </c>
      <c r="D34" s="114">
        <f>SUM(D29:D33)</f>
        <v>52216575.159129485</v>
      </c>
      <c r="E34" s="114">
        <f>SUM(E29:E33)</f>
        <v>54319001.011030592</v>
      </c>
      <c r="F34" s="114">
        <f>SUM(F29:F33)</f>
        <v>109246834.54018401</v>
      </c>
      <c r="G34" s="114">
        <f>SUM(G29:G33)</f>
        <v>139068658.81866741</v>
      </c>
    </row>
    <row r="35" spans="2:7" ht="15">
      <c r="B35" s="103"/>
      <c r="C35" s="103"/>
      <c r="D35" s="103"/>
      <c r="E35" s="103"/>
      <c r="F35" s="103"/>
      <c r="G35" s="103"/>
    </row>
    <row r="36" spans="2:7" ht="15.75">
      <c r="B36" s="113" t="s">
        <v>375</v>
      </c>
      <c r="C36" s="265"/>
      <c r="D36" s="101"/>
      <c r="E36" s="101"/>
      <c r="F36" s="101"/>
      <c r="G36" s="101"/>
    </row>
    <row r="37" spans="2:7" ht="15.75">
      <c r="B37" s="111" t="s">
        <v>493</v>
      </c>
      <c r="C37" s="173">
        <f t="shared" ref="C37:G41" si="0">C8-C29</f>
        <v>10103556.667780489</v>
      </c>
      <c r="D37" s="173">
        <f t="shared" si="0"/>
        <v>32767439.344727527</v>
      </c>
      <c r="E37" s="173">
        <f t="shared" si="0"/>
        <v>26423171.919441</v>
      </c>
      <c r="F37" s="173">
        <f t="shared" si="0"/>
        <v>45513653.97560747</v>
      </c>
      <c r="G37" s="173">
        <f t="shared" si="0"/>
        <v>48457856.756458245</v>
      </c>
    </row>
    <row r="38" spans="2:7" ht="15.75">
      <c r="B38" s="111" t="s">
        <v>494</v>
      </c>
      <c r="C38" s="173">
        <f t="shared" si="0"/>
        <v>868086.49974480085</v>
      </c>
      <c r="D38" s="173">
        <f t="shared" si="0"/>
        <v>2977283.8887120038</v>
      </c>
      <c r="E38" s="173">
        <f t="shared" si="0"/>
        <v>2478266.0102970041</v>
      </c>
      <c r="F38" s="173">
        <f t="shared" si="0"/>
        <v>4287097.8316278011</v>
      </c>
      <c r="G38" s="173">
        <f t="shared" si="0"/>
        <v>4650210.0664362088</v>
      </c>
    </row>
    <row r="39" spans="2:7" ht="15.75">
      <c r="B39" s="111" t="s">
        <v>373</v>
      </c>
      <c r="C39" s="173">
        <f t="shared" si="0"/>
        <v>8478361.2595314533</v>
      </c>
      <c r="D39" s="173">
        <f t="shared" si="0"/>
        <v>42755047.075166985</v>
      </c>
      <c r="E39" s="173">
        <f t="shared" si="0"/>
        <v>58752726.728980415</v>
      </c>
      <c r="F39" s="173">
        <f t="shared" si="0"/>
        <v>140784070.33204851</v>
      </c>
      <c r="G39" s="173">
        <f t="shared" si="0"/>
        <v>198217829.21383235</v>
      </c>
    </row>
    <row r="40" spans="2:7" ht="15.75">
      <c r="B40" s="111" t="s">
        <v>483</v>
      </c>
      <c r="C40" s="173">
        <f t="shared" si="0"/>
        <v>218858.93013759999</v>
      </c>
      <c r="D40" s="173">
        <f t="shared" si="0"/>
        <v>1927926.4411007999</v>
      </c>
      <c r="E40" s="173">
        <f t="shared" si="0"/>
        <v>3187154.9116512001</v>
      </c>
      <c r="F40" s="173">
        <f t="shared" si="0"/>
        <v>4444743.0197016001</v>
      </c>
      <c r="G40" s="173">
        <f t="shared" si="0"/>
        <v>5700608.7471270002</v>
      </c>
    </row>
    <row r="41" spans="2:7" ht="15.75">
      <c r="B41" s="111" t="s">
        <v>453</v>
      </c>
      <c r="C41" s="422">
        <f t="shared" si="0"/>
        <v>3884837.1327359998</v>
      </c>
      <c r="D41" s="422">
        <f t="shared" si="0"/>
        <v>3884837.1327359998</v>
      </c>
      <c r="E41" s="422">
        <f t="shared" si="0"/>
        <v>1705665.3163679999</v>
      </c>
      <c r="F41" s="422">
        <f t="shared" si="0"/>
        <v>2665336.9370519998</v>
      </c>
      <c r="G41" s="422">
        <f t="shared" si="0"/>
        <v>3624431.6746109999</v>
      </c>
    </row>
    <row r="42" spans="2:7" ht="15.75">
      <c r="B42" s="110" t="s">
        <v>376</v>
      </c>
      <c r="C42" s="114">
        <f>SUM(C37:C41)</f>
        <v>23553700.489930347</v>
      </c>
      <c r="D42" s="114">
        <f>SUM(D37:D41)</f>
        <v>84312533.882443324</v>
      </c>
      <c r="E42" s="114">
        <f>SUM(E37:E41)</f>
        <v>92546984.886737615</v>
      </c>
      <c r="F42" s="114">
        <f>SUM(F37:F41)</f>
        <v>197694902.09603739</v>
      </c>
      <c r="G42" s="114">
        <f>SUM(G37:G41)</f>
        <v>260650936.4584648</v>
      </c>
    </row>
    <row r="43" spans="2:7" ht="15.75">
      <c r="B43" s="110"/>
      <c r="C43" s="429"/>
      <c r="D43" s="429"/>
      <c r="E43" s="429"/>
      <c r="F43" s="429"/>
      <c r="G43" s="429"/>
    </row>
    <row r="44" spans="2:7" ht="15.75">
      <c r="B44" s="113" t="s">
        <v>377</v>
      </c>
      <c r="C44" s="103"/>
      <c r="D44" s="103"/>
      <c r="E44" s="103"/>
      <c r="F44" s="103"/>
      <c r="G44" s="103"/>
    </row>
    <row r="45" spans="2:7" ht="15.75">
      <c r="B45" s="111" t="s">
        <v>493</v>
      </c>
      <c r="C45" s="430">
        <f t="shared" ref="C45:G46" si="1">IFERROR(C37/C8,0)</f>
        <v>0.90222722170537251</v>
      </c>
      <c r="D45" s="430">
        <f t="shared" si="1"/>
        <v>0.85370172332603977</v>
      </c>
      <c r="E45" s="430">
        <f t="shared" si="1"/>
        <v>0.82719614033609545</v>
      </c>
      <c r="F45" s="430">
        <f t="shared" si="1"/>
        <v>0.82336612100707329</v>
      </c>
      <c r="G45" s="430">
        <f t="shared" si="1"/>
        <v>0.8082446665534786</v>
      </c>
    </row>
    <row r="46" spans="2:7" ht="15.75">
      <c r="B46" s="111" t="s">
        <v>494</v>
      </c>
      <c r="C46" s="430">
        <f t="shared" si="1"/>
        <v>9.0909090909090995E-2</v>
      </c>
      <c r="D46" s="430">
        <f t="shared" si="1"/>
        <v>9.0909090909091009E-2</v>
      </c>
      <c r="E46" s="430">
        <f t="shared" si="1"/>
        <v>9.090909090909105E-2</v>
      </c>
      <c r="F46" s="430">
        <f t="shared" si="1"/>
        <v>9.0909090909090925E-2</v>
      </c>
      <c r="G46" s="430">
        <f t="shared" si="1"/>
        <v>9.0909090909091064E-2</v>
      </c>
    </row>
    <row r="47" spans="2:7" ht="15.75">
      <c r="B47" s="111" t="s">
        <v>495</v>
      </c>
      <c r="C47" s="430">
        <f>SUM(C37:C38)/SUM(C8:C9)</f>
        <v>0.52881982203412692</v>
      </c>
      <c r="D47" s="430">
        <f>SUM(D37:D38)/SUM(D8:D9)</f>
        <v>0.5025062301928549</v>
      </c>
      <c r="E47" s="430">
        <f>SUM(E37:E38)/SUM(E8:E9)</f>
        <v>0.48816713537927031</v>
      </c>
      <c r="F47" s="430">
        <f>SUM(F37:F38)/SUM(F8:F9)</f>
        <v>0.48616636976995697</v>
      </c>
      <c r="G47" s="430">
        <f>SUM(G37:G38)/SUM(G8:G9)</f>
        <v>0.47799135734582293</v>
      </c>
    </row>
    <row r="48" spans="2:7" ht="15.75">
      <c r="B48" s="111" t="s">
        <v>373</v>
      </c>
      <c r="C48" s="430">
        <f t="shared" ref="C48:G50" si="2">IFERROR(C39/C10,0)</f>
        <v>0.73994561425673477</v>
      </c>
      <c r="D48" s="430">
        <f t="shared" si="2"/>
        <v>0.72555578783088237</v>
      </c>
      <c r="E48" s="430">
        <f t="shared" si="2"/>
        <v>0.71786692726502699</v>
      </c>
      <c r="F48" s="430">
        <f t="shared" si="2"/>
        <v>0.71673430894059331</v>
      </c>
      <c r="G48" s="430">
        <f t="shared" si="2"/>
        <v>0.71232750981255699</v>
      </c>
    </row>
    <row r="49" spans="2:7" ht="15.75">
      <c r="B49" s="111" t="s">
        <v>483</v>
      </c>
      <c r="C49" s="430">
        <f t="shared" si="2"/>
        <v>0.67756309413602689</v>
      </c>
      <c r="D49" s="430">
        <f t="shared" si="2"/>
        <v>0.74608093663212116</v>
      </c>
      <c r="E49" s="430">
        <f t="shared" si="2"/>
        <v>0.82225665564248485</v>
      </c>
      <c r="F49" s="430">
        <f t="shared" si="2"/>
        <v>0.86002711631845685</v>
      </c>
      <c r="G49" s="430">
        <f t="shared" si="2"/>
        <v>0.88242277770750377</v>
      </c>
    </row>
    <row r="50" spans="2:7" ht="15.75">
      <c r="B50" s="111" t="s">
        <v>453</v>
      </c>
      <c r="C50" s="430">
        <f t="shared" si="2"/>
        <v>1</v>
      </c>
      <c r="D50" s="430">
        <f t="shared" si="2"/>
        <v>1</v>
      </c>
      <c r="E50" s="430">
        <f t="shared" si="2"/>
        <v>0.8781141953133772</v>
      </c>
      <c r="F50" s="430">
        <f t="shared" si="2"/>
        <v>0.91478290113880623</v>
      </c>
      <c r="G50" s="430">
        <f t="shared" si="2"/>
        <v>0.93296875796139167</v>
      </c>
    </row>
    <row r="51" spans="2:7" ht="15.75">
      <c r="B51" s="110" t="s">
        <v>378</v>
      </c>
      <c r="C51" s="431">
        <f>C42/C13</f>
        <v>0.64684252084327798</v>
      </c>
      <c r="D51" s="431">
        <f>D42/D13</f>
        <v>0.61754254806402009</v>
      </c>
      <c r="E51" s="431">
        <f>E42/E13</f>
        <v>0.63014580483706106</v>
      </c>
      <c r="F51" s="431">
        <f>F42/F13</f>
        <v>0.64407957113482994</v>
      </c>
      <c r="G51" s="431">
        <f>G42/G13</f>
        <v>0.6520844600519301</v>
      </c>
    </row>
    <row r="52" spans="2:7" ht="15">
      <c r="B52" s="103" t="s">
        <v>381</v>
      </c>
      <c r="C52" s="430">
        <f>'Income Statement'!D40</f>
        <v>0.55772490696324373</v>
      </c>
      <c r="D52" s="430">
        <f>'Income Statement'!E40</f>
        <v>0.50207166652456459</v>
      </c>
      <c r="E52" s="430">
        <f>'Income Statement'!F40</f>
        <v>0.49647434139344743</v>
      </c>
      <c r="F52" s="430">
        <f>'Income Statement'!G40</f>
        <v>0.55131185667425686</v>
      </c>
      <c r="G52" s="430">
        <f>'Income Statement'!H40</f>
        <v>0.56028498621900624</v>
      </c>
    </row>
    <row r="53" spans="2:7" s="9" customFormat="1" ht="15.75">
      <c r="B53" s="38" t="str">
        <f>"1. "&amp;IF(toggle_1="Yes",footnote_1,"")</f>
        <v>1. Source of data: Sample Company</v>
      </c>
      <c r="C53" s="38"/>
      <c r="D53" s="38"/>
      <c r="E53" s="38"/>
      <c r="F53" s="38"/>
    </row>
    <row r="54" spans="2:7" s="9" customFormat="1" ht="16.5" thickBot="1">
      <c r="B54" s="70" t="str">
        <f>"2. "&amp;IF(toggle_2="Yes",footnote_2,"")</f>
        <v>2. Some totals may not add due to rounding.  See Statement of Limiting Conditions.</v>
      </c>
      <c r="C54" s="70"/>
      <c r="D54" s="70"/>
      <c r="E54" s="70"/>
      <c r="F54" s="70"/>
      <c r="G54" s="70"/>
    </row>
    <row r="55" spans="2:7" s="9" customFormat="1" ht="23.25">
      <c r="B55" s="71" t="str">
        <f>IF(toggle_3="Yes",footnote_3,"")</f>
        <v>Draft and preliminary.</v>
      </c>
      <c r="C55" s="38"/>
      <c r="D55" s="38"/>
      <c r="E55" s="38"/>
      <c r="F55"/>
      <c r="G55" s="72"/>
    </row>
    <row r="56" spans="2:7" s="9" customFormat="1" ht="23.25">
      <c r="B56" s="71" t="str">
        <f>IF(toggle_4="Yes",footnote_4,"")</f>
        <v>All data subject to change upon completion of additional analysis.</v>
      </c>
      <c r="C56" s="38"/>
      <c r="D56" s="38"/>
      <c r="E56" s="38"/>
      <c r="F56"/>
      <c r="G56" s="73" t="str">
        <f>IF(toggle_5="Yes",copyright,"")</f>
        <v>© 2009 by p2w2.  All rights reserved.</v>
      </c>
    </row>
  </sheetData>
  <pageMargins left="0.75" right="0.75" top="1" bottom="1" header="0.5" footer="0.5"/>
  <pageSetup paperSize="9" scale="61" orientation="landscape" r:id="rId1"/>
  <headerFooter alignWithMargins="0"/>
  <cellWatches>
    <cellWatch r="C10"/>
  </cellWatches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B1:K77"/>
  <sheetViews>
    <sheetView workbookViewId="0"/>
  </sheetViews>
  <sheetFormatPr defaultRowHeight="15.75"/>
  <cols>
    <col min="1" max="1" width="20.7109375" style="9" customWidth="1"/>
    <col min="2" max="2" width="9.140625" style="9"/>
    <col min="3" max="3" width="29.7109375" style="9" customWidth="1"/>
    <col min="4" max="4" width="13.28515625" style="9" customWidth="1"/>
    <col min="5" max="9" width="20.7109375" style="9" customWidth="1"/>
    <col min="10" max="10" width="17.42578125" style="9" customWidth="1"/>
    <col min="11" max="11" width="12.85546875" style="9" bestFit="1" customWidth="1"/>
    <col min="12" max="16384" width="9.140625" style="9"/>
  </cols>
  <sheetData>
    <row r="1" spans="2:10" s="64" customFormat="1" ht="46.5" customHeight="1" thickBot="1">
      <c r="B1" s="67" t="str">
        <f>co_name</f>
        <v>Sample Company</v>
      </c>
      <c r="C1" s="67"/>
      <c r="D1" s="67"/>
      <c r="E1" s="67"/>
      <c r="F1" s="67"/>
      <c r="G1" s="67"/>
      <c r="H1" s="67"/>
      <c r="I1" s="67"/>
      <c r="J1" s="67" t="str">
        <f>"Exhibit "&amp;_Exh7</f>
        <v>Exhibit 7</v>
      </c>
    </row>
    <row r="2" spans="2:10" ht="18.75">
      <c r="B2" s="66" t="str">
        <f>proj_name</f>
        <v>Marine Operations Services</v>
      </c>
      <c r="I2" s="68"/>
      <c r="J2" s="68">
        <f ca="1">IF(date_toggle=1,run_date,"")</f>
        <v>39918</v>
      </c>
    </row>
    <row r="3" spans="2:10" ht="18.75">
      <c r="B3" s="65" t="s">
        <v>21</v>
      </c>
      <c r="I3" s="69"/>
      <c r="J3" s="69">
        <f ca="1">IF(time_toggle=1,run_time,"")</f>
        <v>39918.566740393515</v>
      </c>
    </row>
    <row r="4" spans="2:10">
      <c r="B4" s="390" t="str">
        <f>curr</f>
        <v>(in US Dollars)</v>
      </c>
    </row>
    <row r="5" spans="2:10">
      <c r="B5"/>
      <c r="C5"/>
      <c r="D5"/>
      <c r="E5"/>
      <c r="F5"/>
      <c r="G5"/>
      <c r="H5"/>
      <c r="I5"/>
    </row>
    <row r="6" spans="2:10">
      <c r="B6" s="198" t="str">
        <f>"Outstanding assets as on "&amp;first_year</f>
        <v>Outstanding assets as on 2009</v>
      </c>
      <c r="C6" s="199"/>
      <c r="D6" s="200" t="s">
        <v>22</v>
      </c>
      <c r="E6" s="85">
        <f>first_year</f>
        <v>2009</v>
      </c>
      <c r="F6" s="85">
        <f>E6+1</f>
        <v>2010</v>
      </c>
      <c r="G6" s="85">
        <f>F6+1</f>
        <v>2011</v>
      </c>
      <c r="H6" s="85">
        <f>G6+1</f>
        <v>2012</v>
      </c>
      <c r="I6" s="85">
        <f>H6+1</f>
        <v>2013</v>
      </c>
      <c r="J6" s="85">
        <f>I6+1</f>
        <v>2014</v>
      </c>
    </row>
    <row r="7" spans="2:10">
      <c r="B7" s="7" t="s">
        <v>23</v>
      </c>
      <c r="C7" s="8"/>
      <c r="D7" s="8" t="s">
        <v>24</v>
      </c>
      <c r="E7" s="7"/>
      <c r="F7" s="7"/>
      <c r="G7" s="7"/>
      <c r="H7" s="7"/>
      <c r="I7" s="7"/>
      <c r="J7" s="7"/>
    </row>
    <row r="8" spans="2:10">
      <c r="C8" s="7" t="s">
        <v>25</v>
      </c>
      <c r="D8" s="7"/>
      <c r="E8" s="10"/>
      <c r="F8" s="11">
        <f>+E10</f>
        <v>0</v>
      </c>
      <c r="G8" s="11">
        <f>+F10</f>
        <v>0</v>
      </c>
      <c r="H8" s="11">
        <f>+G10</f>
        <v>0</v>
      </c>
      <c r="I8" s="11">
        <f>+H10</f>
        <v>0</v>
      </c>
      <c r="J8" s="11">
        <f>+I10</f>
        <v>0</v>
      </c>
    </row>
    <row r="9" spans="2:10">
      <c r="C9" s="7" t="s">
        <v>26</v>
      </c>
      <c r="D9" s="7"/>
      <c r="E9" s="10"/>
      <c r="F9" s="10"/>
      <c r="G9" s="10"/>
      <c r="H9" s="10"/>
      <c r="I9" s="10"/>
      <c r="J9" s="10"/>
    </row>
    <row r="10" spans="2:10">
      <c r="C10" s="7" t="s">
        <v>27</v>
      </c>
      <c r="D10" s="7"/>
      <c r="E10" s="12">
        <f t="shared" ref="E10:J10" si="0">+E8-E9</f>
        <v>0</v>
      </c>
      <c r="F10" s="12">
        <f t="shared" si="0"/>
        <v>0</v>
      </c>
      <c r="G10" s="12">
        <f t="shared" si="0"/>
        <v>0</v>
      </c>
      <c r="H10" s="12">
        <f t="shared" si="0"/>
        <v>0</v>
      </c>
      <c r="I10" s="12">
        <f t="shared" si="0"/>
        <v>0</v>
      </c>
      <c r="J10" s="12">
        <f t="shared" si="0"/>
        <v>0</v>
      </c>
    </row>
    <row r="11" spans="2:10">
      <c r="C11" s="7"/>
      <c r="D11" s="7"/>
      <c r="E11" s="13"/>
      <c r="F11" s="13"/>
      <c r="G11" s="13"/>
      <c r="H11" s="13"/>
      <c r="I11" s="13"/>
      <c r="J11" s="13"/>
    </row>
    <row r="12" spans="2:10">
      <c r="B12" s="7" t="s">
        <v>28</v>
      </c>
      <c r="C12" s="8"/>
      <c r="D12" s="8"/>
      <c r="E12" s="7"/>
      <c r="F12" s="7"/>
      <c r="G12" s="7"/>
      <c r="H12" s="7"/>
      <c r="I12" s="7"/>
      <c r="J12" s="7"/>
    </row>
    <row r="13" spans="2:10">
      <c r="B13" s="7"/>
      <c r="C13" s="7" t="str">
        <f>C8</f>
        <v>Opening balance</v>
      </c>
      <c r="D13" s="7"/>
      <c r="E13" s="10"/>
      <c r="F13" s="10">
        <f>+E16</f>
        <v>0</v>
      </c>
      <c r="G13" s="10">
        <f>+F16</f>
        <v>0</v>
      </c>
      <c r="H13" s="10">
        <f>+G16</f>
        <v>0</v>
      </c>
      <c r="I13" s="10">
        <f>+H16</f>
        <v>0</v>
      </c>
      <c r="J13" s="10">
        <f>+I16</f>
        <v>0</v>
      </c>
    </row>
    <row r="14" spans="2:10">
      <c r="B14" s="7"/>
      <c r="C14" s="7" t="s">
        <v>29</v>
      </c>
      <c r="D14" s="7"/>
      <c r="E14" s="10"/>
      <c r="F14" s="10"/>
      <c r="G14" s="10"/>
      <c r="H14" s="10"/>
      <c r="I14" s="10"/>
      <c r="J14" s="10"/>
    </row>
    <row r="15" spans="2:10">
      <c r="B15" s="7"/>
      <c r="C15" s="7" t="s">
        <v>30</v>
      </c>
      <c r="D15" s="7"/>
      <c r="E15" s="10"/>
      <c r="F15" s="10"/>
      <c r="G15" s="10"/>
      <c r="H15" s="10"/>
      <c r="I15" s="10"/>
      <c r="J15" s="10"/>
    </row>
    <row r="16" spans="2:10">
      <c r="B16" s="7"/>
      <c r="C16" s="7" t="str">
        <f>C10</f>
        <v>Closing balance</v>
      </c>
      <c r="D16" s="7"/>
      <c r="E16" s="12">
        <f t="shared" ref="E16:J16" si="1">+E13+E14-E15</f>
        <v>0</v>
      </c>
      <c r="F16" s="12">
        <f t="shared" si="1"/>
        <v>0</v>
      </c>
      <c r="G16" s="12">
        <f t="shared" si="1"/>
        <v>0</v>
      </c>
      <c r="H16" s="12">
        <f t="shared" si="1"/>
        <v>0</v>
      </c>
      <c r="I16" s="12">
        <f t="shared" si="1"/>
        <v>0</v>
      </c>
      <c r="J16" s="12">
        <f t="shared" si="1"/>
        <v>0</v>
      </c>
    </row>
    <row r="18" spans="2:11" ht="16.5" thickBot="1">
      <c r="B18" s="13"/>
      <c r="C18" s="14"/>
      <c r="D18" s="14"/>
      <c r="E18" s="11"/>
      <c r="F18" s="11"/>
      <c r="G18" s="11"/>
      <c r="H18" s="11"/>
      <c r="I18" s="11"/>
      <c r="J18" s="11"/>
    </row>
    <row r="19" spans="2:11">
      <c r="B19" s="13"/>
      <c r="C19" s="51"/>
      <c r="D19" s="52" t="s">
        <v>31</v>
      </c>
      <c r="E19" s="41">
        <f t="array" ref="E19:I19">E6:I6</f>
        <v>2009</v>
      </c>
      <c r="F19" s="42">
        <v>2010</v>
      </c>
      <c r="G19" s="42">
        <v>2011</v>
      </c>
      <c r="H19" s="42">
        <v>2012</v>
      </c>
      <c r="I19" s="42">
        <v>2013</v>
      </c>
      <c r="J19" s="43">
        <f t="array" ref="J19">J6:N6</f>
        <v>2014</v>
      </c>
    </row>
    <row r="20" spans="2:11">
      <c r="B20" s="13"/>
      <c r="C20" s="53"/>
      <c r="D20" s="54"/>
      <c r="E20" s="44"/>
      <c r="F20" s="44"/>
      <c r="G20" s="44"/>
      <c r="H20" s="44"/>
      <c r="I20" s="44"/>
      <c r="J20" s="45"/>
    </row>
    <row r="21" spans="2:11">
      <c r="B21" s="13"/>
      <c r="C21" s="53" t="s">
        <v>401</v>
      </c>
      <c r="D21" s="15">
        <v>0.1</v>
      </c>
      <c r="E21" s="204"/>
      <c r="F21" s="204"/>
      <c r="G21" s="204"/>
      <c r="H21" s="204"/>
      <c r="I21" s="204"/>
      <c r="J21" s="205"/>
    </row>
    <row r="22" spans="2:11">
      <c r="B22" s="13"/>
      <c r="C22" s="266" t="s">
        <v>285</v>
      </c>
      <c r="D22" s="16">
        <v>0.3</v>
      </c>
      <c r="E22" s="204">
        <v>1500000</v>
      </c>
      <c r="F22" s="204">
        <v>0</v>
      </c>
      <c r="G22" s="204"/>
      <c r="H22" s="204">
        <f>E22</f>
        <v>1500000</v>
      </c>
      <c r="I22" s="204"/>
      <c r="J22" s="205"/>
      <c r="K22" s="222"/>
    </row>
    <row r="23" spans="2:11">
      <c r="B23" s="13"/>
      <c r="C23" s="53" t="s">
        <v>380</v>
      </c>
      <c r="D23" s="16">
        <v>7.4999999999999997E-2</v>
      </c>
      <c r="E23" s="204">
        <f>1000000+250000</f>
        <v>1250000</v>
      </c>
      <c r="F23" s="204">
        <v>0</v>
      </c>
      <c r="G23" s="204"/>
      <c r="H23" s="204">
        <f>0.25*E23</f>
        <v>312500</v>
      </c>
      <c r="I23" s="204"/>
      <c r="J23" s="205"/>
    </row>
    <row r="24" spans="2:11">
      <c r="B24" s="13"/>
      <c r="C24" s="266" t="s">
        <v>287</v>
      </c>
      <c r="D24" s="16">
        <v>0.3</v>
      </c>
      <c r="E24" s="204">
        <f>500000+100000</f>
        <v>600000</v>
      </c>
      <c r="F24" s="204">
        <v>0</v>
      </c>
      <c r="G24" s="204"/>
      <c r="H24" s="204">
        <f>E24</f>
        <v>600000</v>
      </c>
      <c r="I24" s="204"/>
      <c r="J24" s="205"/>
      <c r="K24" s="222"/>
    </row>
    <row r="25" spans="2:11">
      <c r="B25" s="13"/>
      <c r="C25" s="53" t="s">
        <v>32</v>
      </c>
      <c r="D25" s="16">
        <v>0.2</v>
      </c>
      <c r="E25" s="204">
        <v>0</v>
      </c>
      <c r="F25" s="204">
        <v>0</v>
      </c>
      <c r="G25" s="204"/>
      <c r="H25" s="204"/>
      <c r="I25" s="204"/>
      <c r="J25" s="205"/>
    </row>
    <row r="26" spans="2:11">
      <c r="B26" s="13"/>
      <c r="C26" s="266" t="s">
        <v>33</v>
      </c>
      <c r="D26" s="16">
        <v>0.25</v>
      </c>
      <c r="E26" s="206">
        <v>0</v>
      </c>
      <c r="F26" s="207">
        <v>0</v>
      </c>
      <c r="G26" s="207"/>
      <c r="H26" s="207"/>
      <c r="I26" s="207"/>
      <c r="J26" s="208"/>
    </row>
    <row r="27" spans="2:11" ht="16.5" thickBot="1">
      <c r="B27" s="13"/>
      <c r="C27" s="267" t="s">
        <v>34</v>
      </c>
      <c r="D27" s="17">
        <v>0.3</v>
      </c>
      <c r="E27" s="209">
        <v>0</v>
      </c>
      <c r="F27" s="209">
        <v>0</v>
      </c>
      <c r="G27" s="209"/>
      <c r="H27" s="209"/>
      <c r="I27" s="209"/>
      <c r="J27" s="210"/>
    </row>
    <row r="28" spans="2:11">
      <c r="B28" s="13"/>
      <c r="C28" s="18"/>
      <c r="D28" s="18"/>
    </row>
    <row r="29" spans="2:11">
      <c r="B29" s="13"/>
      <c r="C29" s="55"/>
      <c r="D29" s="55"/>
      <c r="E29" s="56">
        <f t="array" ref="E29:I29">E6:I6</f>
        <v>2009</v>
      </c>
      <c r="F29" s="56">
        <v>2010</v>
      </c>
      <c r="G29" s="56">
        <v>2011</v>
      </c>
      <c r="H29" s="56">
        <v>2012</v>
      </c>
      <c r="I29" s="56">
        <v>2013</v>
      </c>
      <c r="J29" s="56">
        <f t="array" ref="J29">J6:N6</f>
        <v>2014</v>
      </c>
    </row>
    <row r="30" spans="2:11">
      <c r="B30" s="13"/>
      <c r="C30" s="57" t="s">
        <v>35</v>
      </c>
      <c r="D30" s="55"/>
      <c r="E30" s="13">
        <f t="shared" ref="E30:J30" si="2">SUM(E21:E27)</f>
        <v>3350000</v>
      </c>
      <c r="F30" s="13">
        <f t="shared" si="2"/>
        <v>0</v>
      </c>
      <c r="G30" s="13">
        <f t="shared" si="2"/>
        <v>0</v>
      </c>
      <c r="H30" s="13">
        <f t="shared" si="2"/>
        <v>2412500</v>
      </c>
      <c r="I30" s="13">
        <f t="shared" si="2"/>
        <v>0</v>
      </c>
      <c r="J30" s="13">
        <f t="shared" si="2"/>
        <v>0</v>
      </c>
    </row>
    <row r="31" spans="2:11">
      <c r="B31" s="13"/>
      <c r="C31" s="57" t="s">
        <v>36</v>
      </c>
      <c r="D31" s="55"/>
      <c r="E31" s="13">
        <f>SUM(E72:E76)</f>
        <v>361875</v>
      </c>
      <c r="F31" s="13">
        <f>SUM(F72:F76)</f>
        <v>723750</v>
      </c>
      <c r="G31" s="13">
        <f>SUM(G72:G76)</f>
        <v>723750</v>
      </c>
      <c r="H31" s="13">
        <f>SUM(H72:H76)</f>
        <v>957187.5</v>
      </c>
      <c r="I31" s="13">
        <f>SUM(I72:I76)</f>
        <v>747187.5</v>
      </c>
      <c r="J31" s="13">
        <f>SUM(J72:J77)</f>
        <v>747187.5</v>
      </c>
      <c r="K31" s="7"/>
    </row>
    <row r="32" spans="2:11">
      <c r="B32" s="13"/>
      <c r="C32" s="57" t="s">
        <v>37</v>
      </c>
      <c r="D32" s="55"/>
      <c r="E32" s="13">
        <f>SUM($E$31:E31)</f>
        <v>361875</v>
      </c>
      <c r="F32" s="13">
        <f>SUM($E$31:F31)</f>
        <v>1085625</v>
      </c>
      <c r="G32" s="13">
        <f>SUM($E$31:G31)</f>
        <v>1809375</v>
      </c>
      <c r="H32" s="13">
        <f>SUM($E$31:H31)</f>
        <v>2766562.5</v>
      </c>
      <c r="I32" s="13">
        <f>SUM($E$31:I31)</f>
        <v>3513750</v>
      </c>
      <c r="J32" s="13">
        <f>SUM($E$31:J31)</f>
        <v>4260937.5</v>
      </c>
    </row>
    <row r="33" spans="2:10">
      <c r="B33" s="13"/>
      <c r="C33" s="57" t="s">
        <v>38</v>
      </c>
      <c r="D33" s="55"/>
      <c r="E33" s="13">
        <f>SUM($E$30:E30)-E32</f>
        <v>2988125</v>
      </c>
      <c r="F33" s="13">
        <f>SUM($E$30:F30)-F32</f>
        <v>2264375</v>
      </c>
      <c r="G33" s="13">
        <f>SUM($E$30:G30)-G32</f>
        <v>1540625</v>
      </c>
      <c r="H33" s="13">
        <f>SUM($E$30:H30)-H32</f>
        <v>2995937.5</v>
      </c>
      <c r="I33" s="13">
        <f>SUM($E$30:I30)-I32</f>
        <v>2248750</v>
      </c>
      <c r="J33" s="13">
        <f>SUM($E$30:J30)-J32</f>
        <v>1501562.5</v>
      </c>
    </row>
    <row r="34" spans="2:10">
      <c r="B34" s="19"/>
      <c r="C34" s="58"/>
      <c r="D34" s="58"/>
      <c r="E34" s="19"/>
      <c r="F34" s="19"/>
      <c r="G34" s="19"/>
      <c r="H34" s="20"/>
      <c r="I34" s="19"/>
      <c r="J34" s="19"/>
    </row>
    <row r="35" spans="2:10" ht="16.5" thickBot="1">
      <c r="B35" s="13"/>
      <c r="C35" s="55" t="s">
        <v>39</v>
      </c>
      <c r="D35" s="55"/>
      <c r="E35" s="21"/>
      <c r="F35" s="21"/>
      <c r="G35" s="21"/>
      <c r="H35" s="21"/>
      <c r="I35" s="21"/>
      <c r="J35" s="21"/>
    </row>
    <row r="36" spans="2:10">
      <c r="B36" s="13"/>
      <c r="C36" s="59" t="s">
        <v>40</v>
      </c>
      <c r="D36" s="60"/>
      <c r="E36" s="22">
        <f>SUM($E$30:E30)+E10</f>
        <v>3350000</v>
      </c>
      <c r="F36" s="22">
        <f>SUM($E$30:F30)+F10</f>
        <v>3350000</v>
      </c>
      <c r="G36" s="22">
        <f>SUM($E$30:G30)+G10</f>
        <v>3350000</v>
      </c>
      <c r="H36" s="22">
        <f>SUM($E$30:H30)+H10</f>
        <v>5762500</v>
      </c>
      <c r="I36" s="23">
        <f>SUM($E$30:I30)+I10</f>
        <v>5762500</v>
      </c>
      <c r="J36" s="23">
        <f>SUM($E$30:J30)+J10</f>
        <v>5762500</v>
      </c>
    </row>
    <row r="37" spans="2:10">
      <c r="B37" s="13"/>
      <c r="C37" s="61"/>
      <c r="D37" s="55"/>
      <c r="E37" s="24"/>
      <c r="F37" s="24"/>
      <c r="G37" s="24"/>
      <c r="H37" s="24"/>
      <c r="I37" s="25"/>
      <c r="J37" s="25"/>
    </row>
    <row r="38" spans="2:10">
      <c r="B38" s="13"/>
      <c r="C38" s="61" t="s">
        <v>41</v>
      </c>
      <c r="D38" s="55"/>
      <c r="E38" s="24">
        <f>(+E14-E15+E31)</f>
        <v>361875</v>
      </c>
      <c r="F38" s="24">
        <f>+F14-F15+F31</f>
        <v>723750</v>
      </c>
      <c r="G38" s="24">
        <f>+G14-G15+G31</f>
        <v>723750</v>
      </c>
      <c r="H38" s="24">
        <f>+H14-H15+H31</f>
        <v>957187.5</v>
      </c>
      <c r="I38" s="25">
        <f>+I14-I15+I31</f>
        <v>747187.5</v>
      </c>
      <c r="J38" s="25">
        <f>+J14-J15+J31</f>
        <v>747187.5</v>
      </c>
    </row>
    <row r="39" spans="2:10">
      <c r="B39" s="13"/>
      <c r="C39" s="61"/>
      <c r="D39" s="55"/>
      <c r="E39" s="24"/>
      <c r="F39" s="24"/>
      <c r="G39" s="24"/>
      <c r="H39" s="24"/>
      <c r="I39" s="25"/>
      <c r="J39" s="25"/>
    </row>
    <row r="40" spans="2:10">
      <c r="B40" s="13"/>
      <c r="C40" s="61" t="s">
        <v>42</v>
      </c>
      <c r="D40" s="55"/>
      <c r="E40" s="24">
        <f t="shared" ref="E40:J40" si="3">E16+E32</f>
        <v>361875</v>
      </c>
      <c r="F40" s="24">
        <f t="shared" si="3"/>
        <v>1085625</v>
      </c>
      <c r="G40" s="24">
        <f t="shared" si="3"/>
        <v>1809375</v>
      </c>
      <c r="H40" s="24">
        <f t="shared" si="3"/>
        <v>2766562.5</v>
      </c>
      <c r="I40" s="24">
        <f t="shared" si="3"/>
        <v>3513750</v>
      </c>
      <c r="J40" s="25">
        <f t="shared" si="3"/>
        <v>4260937.5</v>
      </c>
    </row>
    <row r="41" spans="2:10">
      <c r="B41" s="13"/>
      <c r="C41" s="61"/>
      <c r="D41" s="55"/>
      <c r="E41" s="24"/>
      <c r="F41" s="24"/>
      <c r="G41" s="24"/>
      <c r="H41" s="24"/>
      <c r="I41" s="25"/>
      <c r="J41" s="25"/>
    </row>
    <row r="42" spans="2:10" ht="16.5" thickBot="1">
      <c r="B42" s="13"/>
      <c r="C42" s="62" t="s">
        <v>43</v>
      </c>
      <c r="D42" s="63"/>
      <c r="E42" s="26">
        <f t="shared" ref="E42:J42" si="4">+E36-E40</f>
        <v>2988125</v>
      </c>
      <c r="F42" s="26">
        <f t="shared" si="4"/>
        <v>2264375</v>
      </c>
      <c r="G42" s="26">
        <f t="shared" si="4"/>
        <v>1540625</v>
      </c>
      <c r="H42" s="26">
        <f t="shared" si="4"/>
        <v>2995937.5</v>
      </c>
      <c r="I42" s="27">
        <f t="shared" si="4"/>
        <v>2248750</v>
      </c>
      <c r="J42" s="27">
        <f t="shared" si="4"/>
        <v>1501562.5</v>
      </c>
    </row>
    <row r="43" spans="2:10">
      <c r="B43" s="13"/>
      <c r="C43" s="55"/>
      <c r="D43" s="55"/>
      <c r="E43" s="21"/>
      <c r="F43" s="21"/>
      <c r="G43" s="21"/>
      <c r="H43" s="21"/>
      <c r="I43" s="21"/>
      <c r="J43" s="21"/>
    </row>
    <row r="44" spans="2:10">
      <c r="B44" s="13"/>
      <c r="C44" s="46"/>
      <c r="D44" s="46"/>
      <c r="E44" s="13"/>
      <c r="F44" s="13"/>
      <c r="G44" s="13"/>
      <c r="H44" s="13"/>
      <c r="I44" s="13"/>
      <c r="J44" s="13"/>
    </row>
    <row r="45" spans="2:10">
      <c r="B45" s="28"/>
      <c r="C45" s="28"/>
      <c r="D45" s="28"/>
      <c r="E45" s="29"/>
      <c r="F45" s="29"/>
      <c r="G45" s="29"/>
      <c r="H45" s="29"/>
      <c r="I45" s="29"/>
      <c r="J45" s="29"/>
    </row>
    <row r="46" spans="2:10">
      <c r="B46" s="30" t="s">
        <v>44</v>
      </c>
      <c r="D46" s="30"/>
      <c r="E46" s="47">
        <f t="array" ref="E46:I46">E6:I6</f>
        <v>2009</v>
      </c>
      <c r="F46" s="47">
        <v>2010</v>
      </c>
      <c r="G46" s="47">
        <v>2011</v>
      </c>
      <c r="H46" s="47">
        <v>2012</v>
      </c>
      <c r="I46" s="47">
        <v>2013</v>
      </c>
      <c r="J46" s="47">
        <f t="array" ref="J46">J6:N6</f>
        <v>2014</v>
      </c>
    </row>
    <row r="47" spans="2:10">
      <c r="B47" s="7"/>
      <c r="C47" s="7"/>
      <c r="D47" s="7"/>
      <c r="E47" s="7"/>
      <c r="F47" s="7"/>
      <c r="G47" s="13"/>
      <c r="H47" s="13"/>
      <c r="I47" s="13"/>
      <c r="J47" s="13"/>
    </row>
    <row r="48" spans="2:10">
      <c r="B48" s="7"/>
      <c r="C48" s="7" t="s">
        <v>25</v>
      </c>
      <c r="D48" s="7"/>
      <c r="E48" s="31"/>
      <c r="F48" s="31">
        <f>+E51</f>
        <v>0</v>
      </c>
      <c r="G48" s="31">
        <f>+F51</f>
        <v>0</v>
      </c>
      <c r="H48" s="31">
        <f>+G51</f>
        <v>0</v>
      </c>
      <c r="I48" s="31">
        <f>+H51</f>
        <v>0</v>
      </c>
      <c r="J48" s="31">
        <f>+I51</f>
        <v>0</v>
      </c>
    </row>
    <row r="49" spans="2:10">
      <c r="B49" s="7"/>
      <c r="C49" s="7" t="s">
        <v>45</v>
      </c>
      <c r="D49" s="7"/>
      <c r="E49" s="31"/>
      <c r="F49" s="31"/>
      <c r="G49" s="31"/>
      <c r="H49" s="31"/>
      <c r="I49" s="31"/>
      <c r="J49" s="31"/>
    </row>
    <row r="50" spans="2:10">
      <c r="B50" s="7"/>
      <c r="C50" s="7" t="s">
        <v>46</v>
      </c>
      <c r="D50" s="7"/>
      <c r="E50" s="31"/>
      <c r="F50" s="31"/>
      <c r="G50" s="31"/>
      <c r="H50" s="31"/>
      <c r="I50" s="31"/>
      <c r="J50" s="31"/>
    </row>
    <row r="51" spans="2:10">
      <c r="B51" s="7"/>
      <c r="C51" s="7" t="s">
        <v>27</v>
      </c>
      <c r="D51" s="7"/>
      <c r="E51" s="12">
        <f t="shared" ref="E51:J51" si="5">+E48+E49-E50</f>
        <v>0</v>
      </c>
      <c r="F51" s="12">
        <f t="shared" si="5"/>
        <v>0</v>
      </c>
      <c r="G51" s="12">
        <f t="shared" si="5"/>
        <v>0</v>
      </c>
      <c r="H51" s="12">
        <f t="shared" si="5"/>
        <v>0</v>
      </c>
      <c r="I51" s="12">
        <f t="shared" si="5"/>
        <v>0</v>
      </c>
      <c r="J51" s="12">
        <f t="shared" si="5"/>
        <v>0</v>
      </c>
    </row>
    <row r="52" spans="2:10">
      <c r="B52" s="7"/>
      <c r="C52" s="7"/>
      <c r="D52" s="7"/>
      <c r="E52" s="13"/>
      <c r="F52" s="13"/>
      <c r="G52" s="13"/>
      <c r="H52" s="13"/>
      <c r="I52" s="13"/>
      <c r="J52" s="13"/>
    </row>
    <row r="53" spans="2:10">
      <c r="B53" s="32"/>
      <c r="C53" s="32"/>
      <c r="D53" s="32"/>
      <c r="E53" s="33"/>
      <c r="F53" s="33"/>
      <c r="G53" s="33"/>
      <c r="H53" s="33"/>
      <c r="I53" s="33"/>
      <c r="J53" s="33"/>
    </row>
    <row r="54" spans="2:10">
      <c r="B54" s="7"/>
      <c r="C54" s="30" t="s">
        <v>47</v>
      </c>
      <c r="D54" s="34" t="s">
        <v>48</v>
      </c>
      <c r="E54" s="47">
        <f t="array" ref="E54:I54">E6:I6</f>
        <v>2009</v>
      </c>
      <c r="F54" s="47">
        <v>2010</v>
      </c>
      <c r="G54" s="47">
        <v>2011</v>
      </c>
      <c r="H54" s="47">
        <v>2012</v>
      </c>
      <c r="I54" s="47">
        <v>2013</v>
      </c>
      <c r="J54" s="47">
        <f t="array" ref="J54">J6:N6</f>
        <v>2014</v>
      </c>
    </row>
    <row r="55" spans="2:10">
      <c r="B55" s="7"/>
      <c r="C55" s="8" t="s">
        <v>49</v>
      </c>
      <c r="D55" s="8"/>
      <c r="E55" s="7"/>
      <c r="F55" s="7"/>
      <c r="G55" s="7"/>
      <c r="H55" s="7"/>
      <c r="I55" s="7"/>
      <c r="J55" s="7"/>
    </row>
    <row r="56" spans="2:10" ht="16.5" thickBot="1">
      <c r="B56" s="7"/>
      <c r="C56" s="7" t="s">
        <v>50</v>
      </c>
      <c r="D56" s="7"/>
      <c r="E56" s="31"/>
      <c r="F56" s="31">
        <f>E58</f>
        <v>3183012.0948151234</v>
      </c>
      <c r="G56" s="31">
        <f>F58</f>
        <v>3183012.0948151234</v>
      </c>
      <c r="H56" s="31">
        <f>G58</f>
        <v>3183012.0948151234</v>
      </c>
      <c r="I56" s="31">
        <f>H58</f>
        <v>3183012.0948151234</v>
      </c>
      <c r="J56" s="31">
        <f>I58</f>
        <v>3183012.0948151234</v>
      </c>
    </row>
    <row r="57" spans="2:10" ht="16.5" thickBot="1">
      <c r="B57" s="35"/>
      <c r="C57" s="7" t="s">
        <v>51</v>
      </c>
      <c r="D57" s="36">
        <v>5</v>
      </c>
      <c r="E57" s="31">
        <f>Preoperative_expenses!D16</f>
        <v>3183012.0948151234</v>
      </c>
      <c r="F57" s="31"/>
      <c r="G57" s="31"/>
      <c r="H57" s="31"/>
      <c r="I57" s="31"/>
      <c r="J57" s="31"/>
    </row>
    <row r="58" spans="2:10">
      <c r="B58" s="35"/>
      <c r="C58" s="7" t="s">
        <v>52</v>
      </c>
      <c r="D58" s="7"/>
      <c r="E58" s="7">
        <f t="shared" ref="E58:J58" si="6">+E56+E57</f>
        <v>3183012.0948151234</v>
      </c>
      <c r="F58" s="7">
        <f t="shared" si="6"/>
        <v>3183012.0948151234</v>
      </c>
      <c r="G58" s="7">
        <f t="shared" si="6"/>
        <v>3183012.0948151234</v>
      </c>
      <c r="H58" s="7">
        <f t="shared" si="6"/>
        <v>3183012.0948151234</v>
      </c>
      <c r="I58" s="7">
        <f t="shared" si="6"/>
        <v>3183012.0948151234</v>
      </c>
      <c r="J58" s="7">
        <f t="shared" si="6"/>
        <v>3183012.0948151234</v>
      </c>
    </row>
    <row r="59" spans="2:10">
      <c r="B59" s="35"/>
      <c r="C59" s="35"/>
      <c r="D59" s="35"/>
      <c r="E59" s="35"/>
      <c r="F59" s="35"/>
      <c r="G59" s="35"/>
      <c r="H59" s="35"/>
      <c r="I59" s="35"/>
      <c r="J59" s="35"/>
    </row>
    <row r="60" spans="2:10">
      <c r="B60" s="48"/>
      <c r="C60" s="48" t="s">
        <v>53</v>
      </c>
      <c r="D60" s="48"/>
      <c r="E60" s="35"/>
      <c r="F60" s="35"/>
      <c r="G60" s="35"/>
      <c r="H60" s="35"/>
      <c r="I60" s="35"/>
      <c r="J60" s="35"/>
    </row>
    <row r="61" spans="2:10">
      <c r="B61" s="37"/>
      <c r="C61" s="7" t="s">
        <v>50</v>
      </c>
      <c r="D61" s="7"/>
      <c r="E61" s="31"/>
      <c r="F61" s="31">
        <f>E64</f>
        <v>636602.41896302463</v>
      </c>
      <c r="G61" s="31">
        <f>F64</f>
        <v>1273204.8379260493</v>
      </c>
      <c r="H61" s="31">
        <f>G64</f>
        <v>1909807.2568890739</v>
      </c>
      <c r="I61" s="31">
        <f>H64</f>
        <v>2546409.6758520985</v>
      </c>
      <c r="J61" s="31">
        <f>I64</f>
        <v>3183012.0948151229</v>
      </c>
    </row>
    <row r="62" spans="2:10">
      <c r="B62" s="37"/>
      <c r="C62" s="7" t="s">
        <v>54</v>
      </c>
      <c r="D62" s="7"/>
      <c r="E62" s="31"/>
      <c r="F62" s="31"/>
      <c r="G62" s="31"/>
      <c r="H62" s="31"/>
      <c r="I62" s="31"/>
      <c r="J62" s="31"/>
    </row>
    <row r="63" spans="2:10">
      <c r="B63" s="35"/>
      <c r="C63" s="7" t="s">
        <v>55</v>
      </c>
      <c r="D63" s="7"/>
      <c r="E63" s="38">
        <f>IF(E54-$E54&lt;$D57,$E57/$D57,0)</f>
        <v>636602.41896302463</v>
      </c>
      <c r="F63" s="38">
        <f>IF(F54-$E54&lt;$D57,$E57/$D57,0)+IF(F54-$F54&lt;$D57,$F57/$D57,0)</f>
        <v>636602.41896302463</v>
      </c>
      <c r="G63" s="38">
        <f>IF(G54-$E54&lt;$D57,$E57/$D57,0)+IF(G54-$F54&lt;$D57,$F57/$D57,0)+IF(G54-$G54&lt;$D57,$G57/$D57,0)</f>
        <v>636602.41896302463</v>
      </c>
      <c r="H63" s="38">
        <f>IF(H54-$E54&lt;$D57,$E57/$D57,0)+IF(H54-$F54&lt;$D57,$F57/$D57,0)+IF(H54-$G54&lt;$D57,$G57/$D57,0)+IF(H54-$H54&lt;$D57,$H57/$D57,0)</f>
        <v>636602.41896302463</v>
      </c>
      <c r="I63" s="38">
        <f>IF(I54-$E54&lt;$D57,$E57/$D57,0)+IF(I54-$F54&lt;$D57,$F57/$D57,0)+IF(I54-$G54&lt;$D57,$G57/$D57,0)+IF(I54-$H54&lt;$D57,$H57/$D57,0)+IF(I54-$I54&lt;$D57,$I57/$D57,0)</f>
        <v>636602.41896302463</v>
      </c>
      <c r="J63" s="38">
        <f>IF(J54-$E54&lt;$D57,$E57/$D57,0)+IF(J54-$F54&lt;$D57,$F57/$D57,0)+IF(J54-$G54&lt;$D57,$G57/$D57,0)+IF(J54-$H54&lt;$D57,$H57/$D57,0)+IF(J54-$I54&lt;$D57,$I57/$D57,0)</f>
        <v>0</v>
      </c>
    </row>
    <row r="64" spans="2:10">
      <c r="B64" s="38"/>
      <c r="C64" s="7" t="s">
        <v>52</v>
      </c>
      <c r="D64" s="7"/>
      <c r="E64" s="7">
        <f t="shared" ref="E64:J64" si="7">E61+E62+E63</f>
        <v>636602.41896302463</v>
      </c>
      <c r="F64" s="7">
        <f t="shared" si="7"/>
        <v>1273204.8379260493</v>
      </c>
      <c r="G64" s="7">
        <f t="shared" si="7"/>
        <v>1909807.2568890739</v>
      </c>
      <c r="H64" s="7">
        <f t="shared" si="7"/>
        <v>2546409.6758520985</v>
      </c>
      <c r="I64" s="7">
        <f t="shared" si="7"/>
        <v>3183012.0948151229</v>
      </c>
      <c r="J64" s="7">
        <f t="shared" si="7"/>
        <v>3183012.0948151229</v>
      </c>
    </row>
    <row r="65" spans="2:10">
      <c r="B65" s="38"/>
      <c r="C65" s="49" t="s">
        <v>56</v>
      </c>
      <c r="D65" s="49"/>
      <c r="E65" s="39">
        <f t="shared" ref="E65:J65" si="8">+E58-E64</f>
        <v>2546409.6758520985</v>
      </c>
      <c r="F65" s="39">
        <f t="shared" si="8"/>
        <v>1909807.2568890741</v>
      </c>
      <c r="G65" s="39">
        <f t="shared" si="8"/>
        <v>1273204.8379260495</v>
      </c>
      <c r="H65" s="39">
        <f t="shared" si="8"/>
        <v>636602.41896302486</v>
      </c>
      <c r="I65" s="39">
        <f t="shared" si="8"/>
        <v>0</v>
      </c>
      <c r="J65" s="39">
        <f t="shared" si="8"/>
        <v>0</v>
      </c>
    </row>
    <row r="66" spans="2:10">
      <c r="B66" s="38"/>
      <c r="C66" s="38"/>
      <c r="D66" s="38"/>
      <c r="E66" s="38"/>
      <c r="F66" s="38"/>
      <c r="G66" s="38"/>
      <c r="H66" s="38"/>
      <c r="I66" s="38"/>
      <c r="J66" s="38"/>
    </row>
    <row r="67" spans="2:10">
      <c r="B67" s="38" t="str">
        <f>"1. "&amp;IF(toggle_1="Yes",footnote_1,"")</f>
        <v>1. Source of data: Sample Company</v>
      </c>
      <c r="C67" s="38"/>
      <c r="D67" s="38"/>
      <c r="E67" s="38"/>
      <c r="F67" s="38"/>
      <c r="G67" s="38"/>
      <c r="H67" s="38"/>
      <c r="I67" s="38"/>
      <c r="J67" s="38"/>
    </row>
    <row r="68" spans="2:10" ht="16.5" thickBot="1">
      <c r="B68" s="70" t="str">
        <f>"2. "&amp;IF(toggle_2="Yes",footnote_2,"")</f>
        <v>2. Some totals may not add due to rounding.  See Statement of Limiting Conditions.</v>
      </c>
      <c r="C68" s="70"/>
      <c r="D68" s="70"/>
      <c r="E68" s="70"/>
      <c r="F68" s="70"/>
      <c r="G68" s="70"/>
      <c r="H68" s="70"/>
      <c r="I68" s="70"/>
      <c r="J68" s="70"/>
    </row>
    <row r="69" spans="2:10" ht="23.25">
      <c r="B69" s="71" t="str">
        <f>IF(toggle_3="Yes",footnote_3,"")</f>
        <v>Draft and preliminary.</v>
      </c>
      <c r="C69" s="38"/>
      <c r="D69" s="38"/>
      <c r="E69" s="38"/>
      <c r="F69" s="38"/>
      <c r="G69" s="38"/>
      <c r="H69" s="38"/>
      <c r="I69" s="72"/>
      <c r="J69" s="72"/>
    </row>
    <row r="70" spans="2:10" ht="23.25">
      <c r="B70" s="71" t="str">
        <f>IF(toggle_4="Yes",footnote_4,"")</f>
        <v>All data subject to change upon completion of additional analysis.</v>
      </c>
      <c r="C70" s="38"/>
      <c r="D70" s="38"/>
      <c r="E70" s="38"/>
      <c r="F70" s="38"/>
      <c r="G70" s="38"/>
      <c r="H70" s="38"/>
      <c r="I70" s="73" t="str">
        <f>IF(toggle_5="Yes",copyright,"")</f>
        <v>© 2009 by p2w2.  All rights reserved.</v>
      </c>
      <c r="J70" s="73" t="str">
        <f>IF(toggle_5="Yes",copyright,"")</f>
        <v>© 2009 by p2w2.  All rights reserved.</v>
      </c>
    </row>
    <row r="71" spans="2:10">
      <c r="B71"/>
      <c r="C71" s="35"/>
      <c r="D71" s="35"/>
      <c r="E71" s="35"/>
      <c r="F71" s="35"/>
      <c r="G71" s="35"/>
      <c r="H71" s="35"/>
      <c r="I71" s="35"/>
      <c r="J71" s="35"/>
    </row>
    <row r="72" spans="2:10">
      <c r="B72" s="35"/>
      <c r="C72" s="35"/>
      <c r="D72" s="35"/>
      <c r="E72" s="13">
        <f>(IF(INT(1/$D21)&gt;(E$19-$E$19),$E21*$D21,IF(INT(1/$D21)=(E$19-$E$19),$E21*MOD(1,$D21),0))+IF(INT(1/$D22)&gt;(E$19-$E$19),$E22*$D22,IF(INT(1/$D22)=(E$19-$E$19),$E22*MOD(1,$D22),0))+IF(INT(1/$D23)&gt;(E$19-$E$19),$E23*$D23,IF(INT(1/$D23)=(E$19-$E$19),$E23*MOD(1,$D23),0))+IF(INT(1/$D24)&gt;(E$19-$E$19),$E24*$D24,IF(INT(1/$D24)=(E$19-$E$19),$E24*MOD(1,$D24),0))+IF(INT(1/$D25)&gt;(E$19-$E$19),$E25*$D25,IF(INT(1/$D25)=(E$19-$E$19),$E25*MOD(1,$D25),0))+IF(INT(1/$D26)&gt;(E$19-$E$19),$E26*$D26,IF(INT(1/$D26)=(E$19-$E$19),$E26*MOD(1,$D26),0))+IF(INT(1/$D27)&gt;(E$19-$E$19),$E27*$D27,IF(INT(1/$D27)=(E$19-$E$19),$E27*MOD(1,$D27),0)))*Assumptions!C7</f>
        <v>361875</v>
      </c>
      <c r="F72" s="13">
        <f>IF(INT(1/$D21)&gt;(F$19-$E$19),$E21*$D21,IF(INT(1/$D21)=(F$19-$E$19),$E21*MOD(1,$D21),0))+IF(INT(1/$D22)&gt;(F$19-$E$19),$E22*$D22,IF(INT(1/$D22)=(F$19-$E$19),$E22*MOD(1,$D22),0))+IF(INT(1/$D23)&gt;(F$19-$E$19),$E23*$D23,IF(INT(1/$D23)=(F$19-$E$19),$E23*MOD(1,$D23),0))+IF(INT(1/$D24)&gt;(F$19-$E$19),$E24*$D24,IF(INT(1/$D24)=(F$19-$E$19),$E24*MOD(1,$D24),0))+IF(INT(1/$D25)&gt;(F$19-$E$19),$E25*$D25,IF(INT(1/$D25)=(F$19-$E$19),$E25*MOD(1,$D25),0))+IF(INT(1/$D26)&gt;(F$19-$E$19),$E26*$D26,IF(INT(1/$D26)=(F$19-$E$19),$E26*MOD(1,$D26),0))+IF(INT(1/$D27)&gt;(F$19-$E$19),$E27*$D27,IF(INT(1/$D27)=(F$19-$E$19),$E27*MOD(1,$D27),0))</f>
        <v>723750</v>
      </c>
      <c r="G72" s="13">
        <f>IF(INT(1/$D21)&gt;(G$19-$E$19),$E21*$D21,IF(INT(1/$D21)=(G$19-$E$19),$E21*MOD(1,$D21),0))+IF(INT(1/$D22)&gt;(G$19-$E$19),$E22*$D22,IF(INT(1/$D22)=(G$19-$E$19),$E22*MOD(1,$D22),0))+IF(INT(1/$D23)&gt;(G$19-$E$19),$E23*$D23,IF(INT(1/$D23)=(G$19-$E$19),$E23*MOD(1,$D23),0))+IF(INT(1/$D24)&gt;(G$19-$E$19),$E24*$D24,IF(INT(1/$D24)=(G$19-$E$19),$E24*MOD(1,$D24),0))+IF(INT(1/$D25)&gt;(G$19-$E$19),$E25*$D25,IF(INT(1/$D25)=(G$19-$E$19),$E25*MOD(1,$D25),0))+IF(INT(1/$D26)&gt;(G$19-$E$19),$E26*$D26,IF(INT(1/$D26)=(G$19-$E$19),$E26*MOD(1,$D26),0))+IF(INT(1/$D27)&gt;(G$19-$E$19),$E27*$D27,IF(INT(1/$D27)=(G$19-$E$19),$E27*MOD(1,$D27),0))</f>
        <v>723750</v>
      </c>
      <c r="H72" s="13">
        <f>IF(INT(1/$D21)&gt;(H$19-$E$19),$E21*$D21,IF(INT(1/$D21)=(H$19-$E$19),$E21*MOD(1,$D21),0))+IF(INT(1/$D22)&gt;(H$19-$E$19),$E22*$D22,IF(INT(1/$D22)=(H$19-$E$19),$E22*MOD(1,$D22),0))+IF(INT(1/$D23)&gt;(H$19-$E$19),$E23*$D23,IF(INT(1/$D23)=(H$19-$E$19),$E23*MOD(1,$D23),0))+IF(INT(1/$D24)&gt;(H$19-$E$19),$E24*$D24,IF(INT(1/$D24)=(H$19-$E$19),$E24*MOD(1,$D24),0))+IF(INT(1/$D25)&gt;(H$19-$E$19),$E25*$D25,IF(INT(1/$D25)=(H$19-$E$19),$E25*MOD(1,$D25),0))+IF(INT(1/$D26)&gt;(H$19-$E$19),$E26*$D26,IF(INT(1/$D26)=(H$19-$E$19),$E26*MOD(1,$D26),0))+IF(INT(1/$D27)&gt;(H$19-$E$19),$E27*$D27,IF(INT(1/$D27)=(H$19-$E$19),$E27*MOD(1,$D27),0))</f>
        <v>303750.00000000006</v>
      </c>
      <c r="I72" s="13">
        <f>IF(INT(1/$D21)&gt;(I$19-$E$19),$E21*$D21,IF(INT(1/$D21)=(I$19-$E$19),$E21*MOD(1,$D21),0))+IF(INT(1/$D22)&gt;(I$19-$E$19),$E22*$D22,IF(INT(1/$D22)=(I$19-$E$19),$E22*MOD(1,$D22),0))+IF(INT(1/$D23)&gt;(I$19-$E$19),$E23*$D23,IF(INT(1/$D23)=(I$19-$E$19),$E23*MOD(1,$D23),0))+IF(INT(1/$D24)&gt;(I$19-$E$19),$E24*$D24,IF(INT(1/$D24)=(I$19-$E$19),$E24*MOD(1,$D24),0))+IF(INT(1/$D25)&gt;(I$19-$E$19),$E25*$D25,IF(INT(1/$D25)=(I$19-$E$19),$E25*MOD(1,$D25),0))+IF(INT(1/$D26)&gt;(I$19-$E$19),$E26*$D26,IF(INT(1/$D26)=(I$19-$E$19),$E26*MOD(1,$D26),0))+IF(INT(1/$D27)&gt;(I$19-$E$19),$E27*$D27,IF(INT(1/$D27)=(I$19-$E$19),$E27*MOD(1,$D27),0))</f>
        <v>93750</v>
      </c>
      <c r="J72" s="13">
        <f>IF(INT(1/$D21)&gt;(J$19-$E$19),$E21*$D21,IF(INT(1/$D21)=(J$19-$E$19),$E21*MOD(1,$D21),0))+IF(INT(1/$D22)&gt;(J$19-$E$19),$E22*$D22,IF(INT(1/$D22)=(J$19-$E$19),$E22*MOD(1,$D22),0))+IF(INT(1/$D23)&gt;(J$19-$E$19),$E23*$D23,IF(INT(1/$D23)=(J$19-$E$19),$E23*MOD(1,$D23),0))+IF(INT(1/$D24)&gt;(J$19-$E$19),$E24*$D24,IF(INT(1/$D24)=(J$19-$E$19),$E24*MOD(1,$D24),0))+IF(INT(1/$D25)&gt;(J$19-$E$19),$E25*$D25,IF(INT(1/$D25)=(J$19-$E$19),$E25*MOD(1,$D25),0))+IF(INT(1/$D26)&gt;(J$19-$E$19),$E26*$D26,IF(INT(1/$D26)=(J$19-$E$19),$E26*MOD(1,$D26),0))+IF(INT(1/$D27)&gt;(J$19-$E$19),$E27*$D27,IF(INT(1/$D27)=(J$19-$E$19),$E27*MOD(1,$D27),0))</f>
        <v>93750</v>
      </c>
    </row>
    <row r="73" spans="2:10">
      <c r="B73" s="48"/>
      <c r="C73" s="48"/>
      <c r="D73" s="48"/>
      <c r="E73" s="13"/>
      <c r="F73" s="13">
        <f>IF(INT(1/$D21)&gt;(F$19-$F$19),$F21*$D21,IF(INT(1/$D21)=(F$19-$F$19),$F21*MOD(1,$D21),0))+IF(INT(1/$D22)&gt;(F$19-$F$19),$F22*$D22,IF(INT(1/$D22)=(F$19-$F$19),$F22*MOD(1,$D22),0))+IF(INT(1/$D23)&gt;(F$19-$F$19),$F23*$D23,IF(INT(1/$D23)=(F$19-$F$19),$F23*MOD(1,$D23),0))+IF(INT(1/$D24)&gt;(F$19-$F$19),$F24*$D24,IF(INT(1/$D24)=(F$19-$F$19),$F24*MOD(1,$D24),0))+IF(INT(1/$D25)&gt;(F$19-$F$19),$F25*$D25,IF(INT(1/$D25)=(F$19-$F$19),$F25*MOD(1,$D25),0))+IF(INT(1/$D26)&gt;(F$19-$F$19),$F26*$D26,IF(INT(1/$D26)=(F$19-$F$19),$F26*MOD(1,$D26),0))+IF(INT(1/$D27)&gt;(F$19-$F$19),$F27*$D27,IF(INT(1/$D27)=(F$19-$F$19),$F27*MOD(1,$D27),0))</f>
        <v>0</v>
      </c>
      <c r="G73" s="13">
        <f>IF(INT(1/$D21)&gt;(G$19-$F$19),$F21*$D21,IF(INT(1/$D21)=(G$19-$F$19),$F21*MOD(1,$D21),0))+IF(INT(1/$D22)&gt;(G$19-$F$19),$F22*$D22,IF(INT(1/$D22)=(G$19-$F$19),$F22*MOD(1,$D22),0))+IF(INT(1/$D23)&gt;(G$19-$F$19),$F23*$D23,IF(INT(1/$D23)=(G$19-$F$19),$F23*MOD(1,$D23),0))+IF(INT(1/$D24)&gt;(G$19-$F$19),$F24*$D24,IF(INT(1/$D24)=(G$19-$F$19),$F24*MOD(1,$D24),0))+IF(INT(1/$D25)&gt;(G$19-$F$19),$F25*$D25,IF(INT(1/$D25)=(G$19-$F$19),$F25*MOD(1,$D25),0))+IF(INT(1/$D26)&gt;(G$19-$F$19),$F26*$D26,IF(INT(1/$D26)=(G$19-$F$19),$F26*MOD(1,$D26),0))+IF(INT(1/$D27)&gt;(G$19-$F$19),$F27*$D27,IF(INT(1/$D27)=(G$19-$F$19),$F27*MOD(1,$D27),0))</f>
        <v>0</v>
      </c>
      <c r="H73" s="13">
        <f>IF(INT(1/$D21)&gt;(H$19-$F$19),$F21*$D21,IF(INT(1/$D21)=(H$19-$F$19),$F21*MOD(1,$D21),0))+IF(INT(1/$D22)&gt;(H$19-$F$19),$F22*$D22,IF(INT(1/$D22)=(H$19-$F$19),$F22*MOD(1,$D22),0))+IF(INT(1/$D23)&gt;(H$19-$F$19),$F23*$D23,IF(INT(1/$D23)=(H$19-$F$19),$F23*MOD(1,$D23),0))+IF(INT(1/$D24)&gt;(H$19-$F$19),$F24*$D24,IF(INT(1/$D24)=(H$19-$F$19),$F24*MOD(1,$D24),0))+IF(INT(1/$D25)&gt;(H$19-$F$19),$F25*$D25,IF(INT(1/$D25)=(H$19-$F$19),$F25*MOD(1,$D25),0))+IF(INT(1/$D26)&gt;(H$19-$F$19),$F26*$D26,IF(INT(1/$D26)=(H$19-$F$19),$F26*MOD(1,$D26),0))+IF(INT(1/$D27)&gt;(H$19-$F$19),$F27*$D27,IF(INT(1/$D27)=(H$19-$F$19),$F27*MOD(1,$D27),0))</f>
        <v>0</v>
      </c>
      <c r="I73" s="13">
        <f>IF(INT(1/$D21)&gt;(I$19-$F$19),$F21*$D21,IF(INT(1/$D21)=(I$19-$F$19),$F21*MOD(1,$D21),0))+IF(INT(1/$D22)&gt;(I$19-$F$19),$F22*$D22,IF(INT(1/$D22)=(I$19-$F$19),$F22*MOD(1,$D22),0))+IF(INT(1/$D23)&gt;(I$19-$F$19),$F23*$D23,IF(INT(1/$D23)=(I$19-$F$19),$F23*MOD(1,$D23),0))+IF(INT(1/$D24)&gt;(I$19-$F$19),$F24*$D24,IF(INT(1/$D24)=(I$19-$F$19),$F24*MOD(1,$D24),0))+IF(INT(1/$D25)&gt;(I$19-$F$19),$F25*$D25,IF(INT(1/$D25)=(I$19-$F$19),$F25*MOD(1,$D25),0))+IF(INT(1/$D26)&gt;(I$19-$F$19),$F26*$D26,IF(INT(1/$D26)=(I$19-$F$19),$F26*MOD(1,$D26),0))+IF(INT(1/$D27)&gt;(I$19-$F$19),$F27*$D27,IF(INT(1/$D27)=(I$19-$F$19),$F27*MOD(1,$D27),0))</f>
        <v>0</v>
      </c>
      <c r="J73" s="13">
        <f>IF(INT(1/$D21)&gt;(J$19-$F$19),$F21*$D21,IF(INT(1/$D21)=(J$19-$F$19),$F21*MOD(1,$D21),0))+IF(INT(1/$D22)&gt;(J$19-$F$19),$F22*$D22,IF(INT(1/$D22)=(J$19-$F$19),$F22*MOD(1,$D22),0))+IF(INT(1/$D23)&gt;(J$19-$F$19),$F23*$D23,IF(INT(1/$D23)=(J$19-$F$19),$F23*MOD(1,$D23),0))+IF(INT(1/$D24)&gt;(J$19-$F$19),$F24*$D24,IF(INT(1/$D24)=(J$19-$F$19),$F24*MOD(1,$D24),0))+IF(INT(1/$D25)&gt;(J$19-$F$19),$F25*$D25,IF(INT(1/$D25)=(J$19-$F$19),$F25*MOD(1,$D25),0))+IF(INT(1/$D26)&gt;(J$19-$F$19),$F26*$D26,IF(INT(1/$D26)=(J$19-$F$19),$F26*MOD(1,$D26),0))+IF(INT(1/$D27)&gt;(J$19-$F$19),$F27*$D27,IF(INT(1/$D27)=(J$19-$F$19),$F27*MOD(1,$D27),0))</f>
        <v>0</v>
      </c>
    </row>
    <row r="74" spans="2:10">
      <c r="B74" s="50"/>
      <c r="C74" s="50"/>
      <c r="D74" s="50"/>
      <c r="E74" s="13"/>
      <c r="F74" s="13"/>
      <c r="G74" s="13">
        <f>IF(INT(1/$D21)&gt;(G$19-$G$19),$G21*$D21,IF(INT(1/$D21)=(G$19-$G$19),$G21*MOD(1,$D21),0))+IF(INT(1/$D22)&gt;(G$19-$G$19),$G22*$D22,IF(INT(1/$D22)=(G$19-$G$19),$G22*MOD(1,$D22),0))+IF(INT(1/$D23)&gt;(G$19-$G$19),$G23*$D23,IF(INT(1/$D23)=(G$19-$G$19),$G23*MOD(1,$D23),0))+IF(INT(1/$D24)&gt;(G$19-$G$19),$G24*$D24,IF(INT(1/$D24)=(G$19-$G$19),$G24*MOD(1,$D24),0))+IF(INT(1/$D25)&gt;(G$19-$G$19),$G25*$D25,IF(INT(1/$D25)=(G$19-$G$19),$G25*MOD(1,$D25),0))+IF(INT(1/$D26)&gt;(G$19-$G$19),$G26*$D26,IF(INT(1/$D26)=(G$19-$G$19),$G26*MOD(1,$D26),0))+IF(INT(1/$D27)&gt;(G$19-$G$19),$G27*$D27,IF(INT(1/$D27)=(G$19-$G$19),$G27*MOD(1,$D27),0))</f>
        <v>0</v>
      </c>
      <c r="H74" s="13">
        <f>IF(INT(1/$D21)&gt;(H$19-$G$19),$G21*$D21,IF(INT(1/$D21)=(H$19-$G$19),$G21*MOD(1,$D21),0))+IF(INT(1/$D22)&gt;(H$19-$G$19),$G22*$D22,IF(INT(1/$D22)=(H$19-$G$19),$G22*MOD(1,$D22),0))+IF(INT(1/$D23)&gt;(H$19-$G$19),$G23*$D23,IF(INT(1/$D23)=(H$19-$G$19),$G23*MOD(1,$D23),0))+IF(INT(1/$D24)&gt;(H$19-$G$19),$G24*$D24,IF(INT(1/$D24)=(H$19-$G$19),$G24*MOD(1,$D24),0))+IF(INT(1/$D25)&gt;(H$19-$G$19),$G25*$D25,IF(INT(1/$D25)=(H$19-$G$19),$G25*MOD(1,$D25),0))+IF(INT(1/$D26)&gt;(H$19-$G$19),$G26*$D26,IF(INT(1/$D26)=(H$19-$G$19),$G26*MOD(1,$D26),0))+IF(INT(1/$D27)&gt;(H$19-$G$19),$G27*$D27,IF(INT(1/$D27)=(H$19-$G$19),$G27*MOD(1,$D27),0))</f>
        <v>0</v>
      </c>
      <c r="I74" s="13">
        <f>IF(INT(1/$D21)&gt;(I$19-$G$19),$G21*$D21,IF(INT(1/$D21)=(I$19-$G$19),$G21*MOD(1,$D21),0))+IF(INT(1/$D22)&gt;(I$19-$G$19),$G22*$D22,IF(INT(1/$D22)=(I$19-$G$19),$G22*MOD(1,$D22),0))+IF(INT(1/$D23)&gt;(I$19-$G$19),$G23*$D23,IF(INT(1/$D23)=(I$19-$G$19),$G23*MOD(1,$D23),0))+IF(INT(1/$D24)&gt;(I$19-$G$19),$G24*$D24,IF(INT(1/$D24)=(I$19-$G$19),$G24*MOD(1,$D24),0))+IF(INT(1/$D25)&gt;(I$19-$G$19),$G25*$D25,IF(INT(1/$D25)=(I$19-$G$19),$G25*MOD(1,$D25),0))+IF(INT(1/$D26)&gt;(I$19-$G$19),$G26*$D26,IF(INT(1/$D26)=(I$19-$G$19),$G26*MOD(1,$D26),0))+IF(INT(1/$D27)&gt;(I$19-$G$19),$G27*$D27,IF(INT(1/$D27)=(I$19-$G$19),$G27*MOD(1,$D27),0))</f>
        <v>0</v>
      </c>
      <c r="J74" s="13">
        <f>IF(INT(1/$D21)&gt;(J$19-$G$19),$G21*$D21,IF(INT(1/$D21)=(J$19-$G$19),$G21*MOD(1,$D21),0))+IF(INT(1/$D22)&gt;(J$19-$G$19),$G22*$D22,IF(INT(1/$D22)=(J$19-$G$19),$G22*MOD(1,$D22),0))+IF(INT(1/$D23)&gt;(J$19-$G$19),$G23*$D23,IF(INT(1/$D23)=(J$19-$G$19),$G23*MOD(1,$D23),0))+IF(INT(1/$D24)&gt;(J$19-$G$19),$G24*$D24,IF(INT(1/$D24)=(J$19-$G$19),$G24*MOD(1,$D24),0))+IF(INT(1/$D25)&gt;(J$19-$G$19),$G25*$D25,IF(INT(1/$D25)=(J$19-$G$19),$G25*MOD(1,$D25),0))+IF(INT(1/$D26)&gt;(J$19-$G$19),$G26*$D26,IF(INT(1/$D26)=(J$19-$G$19),$G26*MOD(1,$D26),0))+IF(INT(1/$D27)&gt;(J$19-$G$19),$G27*$D27,IF(INT(1/$D27)=(J$19-$G$19),$G27*MOD(1,$D27),0))</f>
        <v>0</v>
      </c>
    </row>
    <row r="75" spans="2:10">
      <c r="B75" s="35"/>
      <c r="C75" s="35"/>
      <c r="D75" s="35"/>
      <c r="E75" s="13"/>
      <c r="F75" s="13"/>
      <c r="G75" s="13"/>
      <c r="H75" s="13">
        <f>IF(INT(1/$D21)&gt;(H$19-$H$19),$H21*$D21,IF(INT(1/$D21)=(H$19-$H$19),$H21*MOD(1,$D21),0))+IF(INT(1/$D22)&gt;(H$19-$H$19),$H22*$D22,IF(INT(1/$D22)=(H$19-$H$19),$H22*MOD(1,$D22),0))+IF(INT(1/$D23)&gt;(H$19-$H$19),$H23*$D23,IF(INT(1/$D23)=(H$19-$H$19),$H23*MOD(1,$D23),0))+IF(INT(1/$D24)&gt;(H$19-$H$19),$H24*$D24,IF(INT(1/$D24)=(H$19-$H$19),$H24*MOD(1,$D24),0))+IF(INT(1/$D25)&gt;(H$19-$H$19),$H25*$D25,IF(INT(1/$D25)=(H$19-$H$19),$H25*MOD(1,$D25),0))+IF(INT(1/$D26)&gt;(H$19-$H$19),$H26*$D26,IF(INT(1/$D26)=(H$19-$H$19),$H26*MOD(1,$D26),0))+IF(INT(1/$D27)&gt;(H$19-$H$19),$H27*$D27,IF(INT(1/$D27)=(H$19-$H$19),$H27*MOD(1,$D27),0))</f>
        <v>653437.5</v>
      </c>
      <c r="I75" s="13">
        <f>IF(INT(1/$D21)&gt;(I$19-$H$19),$H21*$D21,IF(INT(1/$D21)=(I$19-$H$19),$H21*MOD(1,$D21),0))+IF(INT(1/$D22)&gt;(I$19-$H$19),$H22*$D22,IF(INT(1/$D22)=(I$19-$H$19),$H22*MOD(1,$D22),0))+IF(INT(1/$D23)&gt;(I$19-$H$19),$H23*$D23,IF(INT(1/$D23)=(I$19-$H$19),$H23*MOD(1,$D23),0))+IF(INT(1/$D24)&gt;(I$19-$H$19),$H24*$D24,IF(INT(1/$D24)=(I$19-$H$19),$H24*MOD(1,$D24),0))+IF(INT(1/$D25)&gt;(I$19-$H$19),$H25*$D25,IF(INT(1/$D25)=(I$19-$H$19),$H25*MOD(1,$D25),0))+IF(INT(1/$D26)&gt;(I$19-$H$19),$H26*$D26,IF(INT(1/$D26)=(I$19-$H$19),$H26*MOD(1,$D26),0))+IF(INT(1/$D27)&gt;(I$19-$H$19),$H27*$D27,IF(INT(1/$D27)=(I$19-$H$19),$H27*MOD(1,$D27),0))</f>
        <v>653437.5</v>
      </c>
      <c r="J75" s="13">
        <f>IF(INT(1/$D21)&gt;(J$19-$H$19),$H21*$D21,IF(INT(1/$D21)=(J$19-$H$19),$H21*MOD(1,$D21),0))+IF(INT(1/$D22)&gt;(J$19-$H$19),$H22*$D22,IF(INT(1/$D22)=(J$19-$H$19),$H22*MOD(1,$D22),0))+IF(INT(1/$D23)&gt;(J$19-$H$19),$H23*$D23,IF(INT(1/$D23)=(J$19-$H$19),$H23*MOD(1,$D23),0))+IF(INT(1/$D24)&gt;(J$19-$H$19),$H24*$D24,IF(INT(1/$D24)=(J$19-$H$19),$H24*MOD(1,$D24),0))+IF(INT(1/$D25)&gt;(J$19-$H$19),$H25*$D25,IF(INT(1/$D25)=(J$19-$H$19),$H25*MOD(1,$D25),0))+IF(INT(1/$D26)&gt;(J$19-$H$19),$H26*$D26,IF(INT(1/$D26)=(J$19-$H$19),$H26*MOD(1,$D26),0))+IF(INT(1/$D27)&gt;(J$19-$H$19),$H27*$D27,IF(INT(1/$D27)=(J$19-$H$19),$H27*MOD(1,$D27),0))</f>
        <v>653437.5</v>
      </c>
    </row>
    <row r="76" spans="2:10">
      <c r="B76" s="35"/>
      <c r="C76" s="35"/>
      <c r="D76" s="35"/>
      <c r="E76" s="13"/>
      <c r="F76" s="13"/>
      <c r="G76" s="13"/>
      <c r="H76" s="13"/>
      <c r="I76" s="13">
        <f>IF(INT(1/$D21)&gt;(I$19-$I$19),$I21*$D21,IF(INT(1/$D21)=(I$19-$I$19),$I21*MOD(1,$D21),0))+IF(INT(1/$D22)&gt;(I$19-$I$19),$I22*$D22,IF(INT(1/$D22)=(I$19-$I$19),$I22*MOD(1,$D22),0))+IF(INT(1/$D23)&gt;(I$19-$I$19),$I23*$D23,IF(INT(1/$D23)=(I$19-$I$19),$I23*MOD(1,$D23),0))+IF(INT(1/$D24)&gt;(I$19-$I$19),$I24*$D24,IF(INT(1/$D24)=(I$19-$I$19),$I24*MOD(1,$D24),0))+IF(INT(1/$D25)&gt;(I$19-$I$19),$I25*$D25,IF(INT(1/$D25)=(I$19-$I$19),$I25*MOD(1,$D25),0))+IF(INT(1/$D26)&gt;(I$19-$I$19),$I26*$D26,IF(INT(1/$D26)=(I$19-$I$19),$I26*MOD(1,$D26),0))+IF(INT(1/$D27)&gt;(I$19-$I$19),$I27*$D27,IF(INT(1/$D27)=(I$19-$I$19),$I27*MOD(1,$D27),0))</f>
        <v>0</v>
      </c>
      <c r="J76" s="13">
        <f>IF(INT(1/$D21)&gt;(J$19-$I$19),$I21*$D21,IF(INT(1/$D21)=(J$19-$I$19),$I21*MOD(1,$D21),0))+IF(INT(1/$D22)&gt;(J$19-$I$19),$I22*$D22,IF(INT(1/$D22)=(J$19-$I$19),$I22*MOD(1,$D22),0))+IF(INT(1/$D23)&gt;(J$19-$I$19),$I23*$D23,IF(INT(1/$D23)=(J$19-$I$19),$I23*MOD(1,$D23),0))+IF(INT(1/$D24)&gt;(J$19-$I$19),$I24*$D24,IF(INT(1/$D24)=(J$19-$I$19),$I24*MOD(1,$D24),0))+IF(INT(1/$D25)&gt;(J$19-$I$19),$I25*$D25,IF(INT(1/$D25)=(J$19-$I$19),$I25*MOD(1,$D25),0))+IF(INT(1/$D26)&gt;(J$19-$I$19),$I26*$D26,IF(INT(1/$D26)=(J$19-$I$19),$I26*MOD(1,$D26),0))+IF(INT(1/$D27)&gt;(J$19-$I$19),$I27*$D27,IF(INT(1/$D27)=(J$19-$I$19),$I27*MOD(1,$D27),0))</f>
        <v>0</v>
      </c>
    </row>
    <row r="77" spans="2:10">
      <c r="J77" s="13">
        <f>IF(INT(1/$D21)&gt;(J$19-$J$19),$J21*$D21,IF(INT(1/$D21)=(J$19-$J$19),$J21*MOD(1,$D21),0))+IF(INT(1/$D22)&gt;(J$19-$J$19),$J22*$D22,IF(INT(1/$D22)=(J$19-$J$19),$J22*MOD(1,$D22),0))+IF(INT(1/$D23)&gt;(J$19-$J$19),$J23*$D23,IF(INT(1/$D23)=(J$19-$J$19),$J23*MOD(1,$D23),0))+IF(INT(1/$D24)&gt;(J$19-$J$19),$J24*$D24,IF(INT(1/$D24)=(J$19-$J$19),$J24*MOD(1,$D24),0))+IF(INT(1/$D25)&gt;(J$19-$J$19),$J25*$D25,IF(INT(1/$D25)=(J$19-$J$19),$J25*MOD(1,$D25),0))+IF(INT(1/$D26)&gt;(J$19-$J$19),$J26*$D26,IF(INT(1/$D26)=(J$19-$J$19),$J26*MOD(1,$D26),0))+IF(INT(1/$D27)&gt;(J$19-$J$19),$J27*$D27,IF(INT(1/$D27)=(J$19-$J$19),$J27*MOD(1,$D27),0))</f>
        <v>0</v>
      </c>
    </row>
  </sheetData>
  <pageMargins left="0.74803149606299213" right="0.74803149606299213" top="0.98425196850393704" bottom="0.98425196850393704" header="0.51181102362204722" footer="0.51181102362204722"/>
  <pageSetup paperSize="9" scale="4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19</vt:i4>
      </vt:variant>
      <vt:variant>
        <vt:lpstr>Named Ranges</vt:lpstr>
      </vt:variant>
      <vt:variant>
        <vt:i4>42</vt:i4>
      </vt:variant>
    </vt:vector>
  </HeadingPairs>
  <TitlesOfParts>
    <vt:vector size="61" baseType="lpstr">
      <vt:lpstr>Balancesheet</vt:lpstr>
      <vt:lpstr>Income Statement</vt:lpstr>
      <vt:lpstr>Cash Flow Statement</vt:lpstr>
      <vt:lpstr>Main Sheet</vt:lpstr>
      <vt:lpstr>Assumptions</vt:lpstr>
      <vt:lpstr>Services Details</vt:lpstr>
      <vt:lpstr>Revenue Details</vt:lpstr>
      <vt:lpstr>Revenue Aggregate, GrossMargin</vt:lpstr>
      <vt:lpstr>Fixed Assets Sch</vt:lpstr>
      <vt:lpstr>Working capital</vt:lpstr>
      <vt:lpstr>G &amp; A Expenses</vt:lpstr>
      <vt:lpstr>Travel &amp; Comm,Office Supplies</vt:lpstr>
      <vt:lpstr>Preoperative_expenses</vt:lpstr>
      <vt:lpstr>Cost of Sales</vt:lpstr>
      <vt:lpstr>Income Tax</vt:lpstr>
      <vt:lpstr>Loan Schedule</vt:lpstr>
      <vt:lpstr>Salaries</vt:lpstr>
      <vt:lpstr>Financial Ratio Analysis</vt:lpstr>
      <vt:lpstr>Operational Ratio Analysis</vt:lpstr>
      <vt:lpstr>_Exh1</vt:lpstr>
      <vt:lpstr>_Exh10</vt:lpstr>
      <vt:lpstr>_Exh11</vt:lpstr>
      <vt:lpstr>_Exh12</vt:lpstr>
      <vt:lpstr>_exh13</vt:lpstr>
      <vt:lpstr>_exh14</vt:lpstr>
      <vt:lpstr>_exh15</vt:lpstr>
      <vt:lpstr>_exh16</vt:lpstr>
      <vt:lpstr>_exh17</vt:lpstr>
      <vt:lpstr>_Exh2</vt:lpstr>
      <vt:lpstr>_Exh3</vt:lpstr>
      <vt:lpstr>_Exh4</vt:lpstr>
      <vt:lpstr>_Exh5</vt:lpstr>
      <vt:lpstr>_Exh6</vt:lpstr>
      <vt:lpstr>_Exh7</vt:lpstr>
      <vt:lpstr>_Exh8</vt:lpstr>
      <vt:lpstr>_Exh9</vt:lpstr>
      <vt:lpstr>co_name</vt:lpstr>
      <vt:lpstr>copyright</vt:lpstr>
      <vt:lpstr>curr</vt:lpstr>
      <vt:lpstr>date_toggle</vt:lpstr>
      <vt:lpstr>first_year</vt:lpstr>
      <vt:lpstr>first_year_local</vt:lpstr>
      <vt:lpstr>footnote_1</vt:lpstr>
      <vt:lpstr>footnote_2</vt:lpstr>
      <vt:lpstr>footnote_3</vt:lpstr>
      <vt:lpstr>footnote_4</vt:lpstr>
      <vt:lpstr>Balancesheet!Print_Area</vt:lpstr>
      <vt:lpstr>'Cash Flow Statement'!Print_Area</vt:lpstr>
      <vt:lpstr>'Fixed Assets Sch'!Print_Area</vt:lpstr>
      <vt:lpstr>'Loan Schedule'!Print_Area</vt:lpstr>
      <vt:lpstr>'Revenue Aggregate, GrossMargin'!Print_Area</vt:lpstr>
      <vt:lpstr>proj_name</vt:lpstr>
      <vt:lpstr>run_date</vt:lpstr>
      <vt:lpstr>run_time</vt:lpstr>
      <vt:lpstr>time_toggle</vt:lpstr>
      <vt:lpstr>toggle_1</vt:lpstr>
      <vt:lpstr>toggle_2</vt:lpstr>
      <vt:lpstr>toggle_3</vt:lpstr>
      <vt:lpstr>toggle_4</vt:lpstr>
      <vt:lpstr>toggle_5</vt:lpstr>
      <vt:lpstr>USDSR</vt:lpstr>
    </vt:vector>
  </TitlesOfParts>
  <Company>Ernst &amp; Young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Proforma Projections</dc:title>
  <dc:creator>p2w2</dc:creator>
  <cp:lastModifiedBy>Chaitanya</cp:lastModifiedBy>
  <cp:lastPrinted>2009-01-20T05:41:32Z</cp:lastPrinted>
  <dcterms:created xsi:type="dcterms:W3CDTF">1999-02-25T22:19:52Z</dcterms:created>
  <dcterms:modified xsi:type="dcterms:W3CDTF">2009-04-15T08:08:09Z</dcterms:modified>
</cp:coreProperties>
</file>